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mc:AlternateContent xmlns:mc="http://schemas.openxmlformats.org/markup-compatibility/2006">
    <mc:Choice Requires="x15">
      <x15ac:absPath xmlns:x15ac="http://schemas.microsoft.com/office/spreadsheetml/2010/11/ac" url="https://veic-my.sharepoint.com/personal/mscerbo_dcseu_com/Documents/Documents/Resources/Teamwork in progress/"/>
    </mc:Choice>
  </mc:AlternateContent>
  <xr:revisionPtr revIDLastSave="0" documentId="8_{5823E6E0-492D-44D3-9B64-A7F6383C49BC}" xr6:coauthVersionLast="47" xr6:coauthVersionMax="47" xr10:uidLastSave="{00000000-0000-0000-0000-000000000000}"/>
  <bookViews>
    <workbookView xWindow="-28920" yWindow="-2055" windowWidth="29040" windowHeight="15840" firstSheet="3" activeTab="3" xr2:uid="{06235F4E-C404-4A63-BE7B-60DF1A2ED847}"/>
    <workbookView xWindow="-28920" yWindow="-2055" windowWidth="29040" windowHeight="15840" firstSheet="1" activeTab="1" xr2:uid="{6C50DD9D-1675-4B29-8F29-03AC26BBB302}"/>
  </bookViews>
  <sheets>
    <sheet name="General Instructions" sheetId="31" r:id="rId1"/>
    <sheet name="IQEF Intake Form" sheetId="30" r:id="rId2"/>
    <sheet name="Example Form" sheetId="37" r:id="rId3"/>
    <sheet name="Lists &amp; Other References" sheetId="29" r:id="rId4"/>
    <sheet name="Water Heater" sheetId="34" r:id="rId5"/>
    <sheet name="Low Flow Faucets" sheetId="35" r:id="rId6"/>
    <sheet name="Heat Pumps" sheetId="33" r:id="rId7"/>
    <sheet name="Lighting" sheetId="32" r:id="rId8"/>
    <sheet name="Pipe+Tank Insulation" sheetId="36" r:id="rId9"/>
    <sheet name="Module1" sheetId="12" state="veryHidden" r:id="rId10"/>
    <sheet name="Module2" sheetId="13" state="veryHidden" r:id="rId11"/>
    <sheet name="Module3" sheetId="14" state="veryHidden" r:id="rId12"/>
  </sheets>
  <definedNames>
    <definedName name="ac_heat1">'Lists &amp; Other References'!#REF!</definedName>
    <definedName name="ac_type1">'Lists &amp; Other References'!$E$65:$E$66</definedName>
    <definedName name="ACSource">#REF!</definedName>
    <definedName name="ACYear1">#REF!</definedName>
    <definedName name="afue">#REF!</definedName>
    <definedName name="AnnualAC">#REF!</definedName>
    <definedName name="BASEYR">#REF!</definedName>
    <definedName name="bill">#REF!</definedName>
    <definedName name="chill1">'Lists &amp; Other References'!$A$37:$A$41</definedName>
    <definedName name="class">#REF!</definedName>
    <definedName name="Column">#REF!</definedName>
    <definedName name="DemandUnits">#REF!</definedName>
    <definedName name="DHW_fuel1">'Lists &amp; Other References'!$C$2:$C$3</definedName>
    <definedName name="Electric_Adder">#REF!</definedName>
    <definedName name="Electric_Adder?">#REF!</definedName>
    <definedName name="Electric_Ext?">#REF!</definedName>
    <definedName name="Electric_Ext_Values">#REF!</definedName>
    <definedName name="End_Use_Ext_Values">#REF!</definedName>
    <definedName name="enduse">#REF!</definedName>
    <definedName name="EnergyUnits">#REF!</definedName>
    <definedName name="exhaust1">'Lists &amp; Other References'!$A$80:$A$81</definedName>
    <definedName name="Externality_adder">#REF!</definedName>
    <definedName name="flow">#REF!</definedName>
    <definedName name="flow1">'Lists &amp; Other References'!$A$53:$A$55</definedName>
    <definedName name="Fossil_Adder">#REF!</definedName>
    <definedName name="fridge">#REF!</definedName>
    <definedName name="fridge1">Lighting!$E$11:$E$20</definedName>
    <definedName name="FSTable">#REF!</definedName>
    <definedName name="FStype">#REF!</definedName>
    <definedName name="fuel">#REF!</definedName>
    <definedName name="Fuel_Name">#REF!</definedName>
    <definedName name="Fuel_Prices">#REF!</definedName>
    <definedName name="Fuel_Use...">#REF!</definedName>
    <definedName name="FuelFlags...">#REF!</definedName>
    <definedName name="future_inflation">#REF!</definedName>
    <definedName name="h2o_heat1">'Lists &amp; Other References'!#REF!</definedName>
    <definedName name="h2o_loca1">'Lists &amp; Other References'!#REF!</definedName>
    <definedName name="heat_pump">#REF!</definedName>
    <definedName name="heat_pump1">'Lists &amp; Other References'!#REF!</definedName>
    <definedName name="heat_type1">'Lists &amp; Other References'!#REF!</definedName>
    <definedName name="inflate">#REF!</definedName>
    <definedName name="inputform">#REF!</definedName>
    <definedName name="light_controls1">'Lists &amp; Other References'!$A$22:$A$26</definedName>
    <definedName name="lighthrdef">'Lists &amp; Other References'!#REF!</definedName>
    <definedName name="lighting1">'Lists &amp; Other References'!$A$5:$A$15</definedName>
    <definedName name="lightloca">Lighting!$A$2:$A$9</definedName>
    <definedName name="Line_Losses">#REF!</definedName>
    <definedName name="Loadprof">#REF!</definedName>
    <definedName name="matcost" localSheetId="2">'Example Form'!$N$2</definedName>
    <definedName name="matcost">'IQEF Intake Form'!$N$2</definedName>
    <definedName name="MMoutput">#REF!</definedName>
    <definedName name="months1">'Lists &amp; Other References'!#REF!</definedName>
    <definedName name="MSPrint">#REF!</definedName>
    <definedName name="NB">#REF!</definedName>
    <definedName name="NEBFlag">#REF!</definedName>
    <definedName name="NEBFlagTable">#REF!</definedName>
    <definedName name="PeakLoadWeights">#REF!</definedName>
    <definedName name="Period">#REF!</definedName>
    <definedName name="PrintFS">#REF!</definedName>
    <definedName name="PrintSC">#REF!</definedName>
    <definedName name="progyear">#REF!</definedName>
    <definedName name="projcost" localSheetId="2">'Example Form'!$J$4</definedName>
    <definedName name="projcost">'IQEF Intake Form'!$J$4</definedName>
    <definedName name="RDR">#REF!</definedName>
    <definedName name="refrigerator1">'Lists &amp; Other References'!$C$35:$C$37</definedName>
    <definedName name="ResComFlag">#REF!</definedName>
    <definedName name="ResComFlagTable">#REF!</definedName>
    <definedName name="RiskDiscount">#REF!</definedName>
    <definedName name="Saves_Fuel?...">#REF!</definedName>
    <definedName name="SFSoutput2">#REF!</definedName>
    <definedName name="sp_eff1">'Lists &amp; Other References'!#REF!</definedName>
    <definedName name="SPANB">#REF!</definedName>
    <definedName name="TD_Summer_Weight">#REF!</definedName>
    <definedName name="TD_Winter_Weight">#REF!</definedName>
    <definedName name="thermo">#REF!</definedName>
    <definedName name="thermo1">Lighting!$G$7:$G$8</definedName>
    <definedName name="Total___adder">#REF!</definedName>
    <definedName name="Uses_Fuel?...">#REF!</definedName>
    <definedName name="utilities">#REF!</definedName>
    <definedName name="utility">#REF!</definedName>
    <definedName name="utilitycode">#REF!</definedName>
    <definedName name="vfd">#REF!</definedName>
    <definedName name="vfd_app1">'Lists &amp; Other References'!$A$58:$A$62</definedName>
    <definedName name="waste_heat">#REF!</definedName>
    <definedName name="waste_heat1">'Lists &amp; Other References'!$E$40:$E$47</definedName>
    <definedName name="Water_AC">#REF!</definedName>
    <definedName name="Water_Prices">#REF!</definedName>
    <definedName name="WaterBaseYr">#REF!</definedName>
    <definedName name="yesno1">'Lists &amp; Other References'!#REF!</definedName>
  </definedNames>
  <calcPr calcId="191028"/>
  <customWorkbookViews>
    <customWorkbookView name="singleFS (Single FS Input)" guid="{0061D840-F436-11D3-9D36-00C0DF644A21}" maximized="1" windowWidth="796" windowHeight="438" activeSheetId="2"/>
    <customWorkbookView name="multimeas (Multi Measure Input)" guid="{0061D83E-F436-11D3-9D36-00C0DF644A21}" maximized="1" windowWidth="796" windowHeight="438" activeSheetId="4"/>
    <customWorkbookView name="singlecustom (Single Custom Input)" guid="{0061D822-F436-11D3-9D36-00C0DF644A21}" maximized="1" windowWidth="796" windowHeight="4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9" i="37" l="1"/>
  <c r="N128" i="37"/>
  <c r="O122" i="37"/>
  <c r="O121" i="37"/>
  <c r="O120" i="37"/>
  <c r="N115" i="37"/>
  <c r="N114" i="37"/>
  <c r="N113" i="37"/>
  <c r="N129" i="30"/>
  <c r="N128" i="30"/>
  <c r="O122" i="30"/>
  <c r="N115" i="30"/>
  <c r="O121" i="30"/>
  <c r="O120" i="30"/>
  <c r="N114" i="30"/>
  <c r="N113" i="30"/>
  <c r="O6" i="35" l="1"/>
  <c r="J9" i="30"/>
  <c r="A57" i="30"/>
  <c r="A51" i="30"/>
  <c r="I8" i="33"/>
  <c r="B83" i="30"/>
  <c r="F8" i="36"/>
  <c r="B45" i="30"/>
  <c r="A45" i="30"/>
  <c r="C50" i="33"/>
  <c r="C49" i="33"/>
  <c r="C48" i="33"/>
  <c r="C44" i="33"/>
  <c r="C43" i="33"/>
  <c r="C42" i="33"/>
  <c r="C38" i="33"/>
  <c r="C37" i="33"/>
  <c r="C36" i="33"/>
  <c r="C32" i="33"/>
  <c r="C31" i="33"/>
  <c r="C30" i="33"/>
  <c r="C26" i="33"/>
  <c r="C25" i="33"/>
  <c r="C24" i="33"/>
  <c r="C20" i="33"/>
  <c r="C19" i="33"/>
  <c r="C18" i="33"/>
  <c r="B10" i="33"/>
  <c r="D10" i="33"/>
  <c r="E10" i="33"/>
  <c r="F10" i="33"/>
  <c r="G10" i="33"/>
  <c r="H10" i="33"/>
  <c r="I10" i="33"/>
  <c r="J10" i="33"/>
  <c r="K10" i="33"/>
  <c r="L10" i="33" s="1"/>
  <c r="M10" i="33"/>
  <c r="N10" i="33"/>
  <c r="O10" i="33"/>
  <c r="P10" i="33"/>
  <c r="Q10" i="33"/>
  <c r="R10" i="33"/>
  <c r="S10" i="33"/>
  <c r="T10" i="33"/>
  <c r="B11" i="33"/>
  <c r="D11" i="33"/>
  <c r="E11" i="33"/>
  <c r="F11" i="33"/>
  <c r="G11" i="33"/>
  <c r="H11" i="33"/>
  <c r="I11" i="33"/>
  <c r="J11" i="33"/>
  <c r="K11" i="33"/>
  <c r="L11" i="33" s="1"/>
  <c r="M11" i="33"/>
  <c r="N11" i="33"/>
  <c r="O11" i="33"/>
  <c r="P11" i="33"/>
  <c r="Q11" i="33"/>
  <c r="R11" i="33"/>
  <c r="S11" i="33"/>
  <c r="T11" i="33"/>
  <c r="B12" i="33"/>
  <c r="D12" i="33"/>
  <c r="E12" i="33"/>
  <c r="F12" i="33"/>
  <c r="G12" i="33"/>
  <c r="H12" i="33"/>
  <c r="I12" i="33"/>
  <c r="J12" i="33"/>
  <c r="K12" i="33"/>
  <c r="M12" i="33"/>
  <c r="N12" i="33"/>
  <c r="O12" i="33"/>
  <c r="P12" i="33"/>
  <c r="Q12" i="33"/>
  <c r="R12" i="33"/>
  <c r="S12" i="33"/>
  <c r="T12" i="33"/>
  <c r="AG47" i="30"/>
  <c r="AG46" i="30"/>
  <c r="AG45" i="30"/>
  <c r="P12" i="30"/>
  <c r="J12" i="30"/>
  <c r="I12" i="30"/>
  <c r="P11" i="30"/>
  <c r="J11" i="30"/>
  <c r="I11" i="30"/>
  <c r="P10" i="30"/>
  <c r="J10" i="30"/>
  <c r="I10" i="30"/>
  <c r="P14" i="30"/>
  <c r="J14" i="30"/>
  <c r="I14" i="30"/>
  <c r="P13" i="30"/>
  <c r="J13" i="30"/>
  <c r="I13" i="30"/>
  <c r="A53" i="30" l="1"/>
  <c r="K48" i="33"/>
  <c r="M48" i="33" s="1"/>
  <c r="L12" i="33"/>
  <c r="K50" i="33"/>
  <c r="L49" i="33"/>
  <c r="K49" i="33"/>
  <c r="K43" i="33"/>
  <c r="M43" i="33" s="1"/>
  <c r="K25" i="33"/>
  <c r="M25" i="33" s="1"/>
  <c r="L48" i="33"/>
  <c r="N48" i="33"/>
  <c r="N50" i="33"/>
  <c r="K44" i="33"/>
  <c r="M44" i="33" s="1"/>
  <c r="L32" i="33"/>
  <c r="K42" i="33"/>
  <c r="M42" i="33" s="1"/>
  <c r="N49" i="33"/>
  <c r="L50" i="33"/>
  <c r="K38" i="33"/>
  <c r="N38" i="33"/>
  <c r="K37" i="33"/>
  <c r="K36" i="33"/>
  <c r="M36" i="33" s="1"/>
  <c r="K32" i="33"/>
  <c r="M32" i="33" s="1"/>
  <c r="A47" i="30" s="1"/>
  <c r="K31" i="33"/>
  <c r="M31" i="33" s="1"/>
  <c r="K30" i="33"/>
  <c r="M30" i="33" s="1"/>
  <c r="K24" i="33"/>
  <c r="M24" i="33" s="1"/>
  <c r="N36" i="33"/>
  <c r="L31" i="33"/>
  <c r="N31" i="33"/>
  <c r="N37" i="33"/>
  <c r="N32" i="33"/>
  <c r="B47" i="30" s="1"/>
  <c r="N30" i="33"/>
  <c r="K26" i="33"/>
  <c r="M26" i="33" s="1"/>
  <c r="L18" i="33"/>
  <c r="L30" i="33"/>
  <c r="K18" i="33"/>
  <c r="M18" i="33" s="1"/>
  <c r="L20" i="33"/>
  <c r="K19" i="33"/>
  <c r="N20" i="33"/>
  <c r="K20" i="33"/>
  <c r="M20" i="33" s="1"/>
  <c r="L19" i="33"/>
  <c r="N18" i="33"/>
  <c r="N19" i="33"/>
  <c r="B46" i="30" s="1"/>
  <c r="O99" i="30"/>
  <c r="G73" i="30"/>
  <c r="M19" i="33" l="1"/>
  <c r="A46" i="30" s="1"/>
  <c r="M49" i="33"/>
  <c r="M50" i="33"/>
  <c r="L38" i="33"/>
  <c r="M38" i="33" s="1"/>
  <c r="L37" i="33"/>
  <c r="M37" i="33" s="1"/>
  <c r="L36" i="33"/>
  <c r="H8" i="36"/>
  <c r="J8" i="36" s="1"/>
  <c r="J9" i="36" s="1"/>
  <c r="A83" i="30"/>
  <c r="B53" i="37"/>
  <c r="A53" i="37"/>
  <c r="O2" i="37"/>
  <c r="X28" i="37"/>
  <c r="P28" i="37"/>
  <c r="J28" i="37"/>
  <c r="A28" i="37" s="1"/>
  <c r="C28" i="37" s="1"/>
  <c r="I28" i="37"/>
  <c r="B28" i="37"/>
  <c r="X27" i="37"/>
  <c r="P27" i="37"/>
  <c r="J27" i="37"/>
  <c r="B27" i="37" s="1"/>
  <c r="I27" i="37"/>
  <c r="X26" i="37"/>
  <c r="P26" i="37"/>
  <c r="J26" i="37"/>
  <c r="I26" i="37"/>
  <c r="B26" i="37"/>
  <c r="A26" i="37"/>
  <c r="C26" i="37" s="1"/>
  <c r="X25" i="37"/>
  <c r="P25" i="37"/>
  <c r="J25" i="37"/>
  <c r="B25" i="37" s="1"/>
  <c r="I25" i="37"/>
  <c r="X24" i="37"/>
  <c r="P24" i="37"/>
  <c r="J24" i="37"/>
  <c r="B24" i="37" s="1"/>
  <c r="I24" i="37"/>
  <c r="X23" i="37"/>
  <c r="P23" i="37"/>
  <c r="J23" i="37"/>
  <c r="B23" i="37" s="1"/>
  <c r="I23" i="37"/>
  <c r="X22" i="37"/>
  <c r="P22" i="37"/>
  <c r="J22" i="37"/>
  <c r="A22" i="37" s="1"/>
  <c r="C22" i="37" s="1"/>
  <c r="I22" i="37"/>
  <c r="B22" i="37"/>
  <c r="X21" i="37"/>
  <c r="P21" i="37"/>
  <c r="J21" i="37"/>
  <c r="I21" i="37"/>
  <c r="X20" i="37"/>
  <c r="P20" i="37"/>
  <c r="J20" i="37"/>
  <c r="A20" i="37" s="1"/>
  <c r="C20" i="37" s="1"/>
  <c r="I20" i="37"/>
  <c r="B20" i="37"/>
  <c r="X19" i="37"/>
  <c r="P19" i="37"/>
  <c r="J19" i="37"/>
  <c r="B19" i="37" s="1"/>
  <c r="I19" i="37"/>
  <c r="X18" i="37"/>
  <c r="P18" i="37"/>
  <c r="J18" i="37"/>
  <c r="B18" i="37" s="1"/>
  <c r="I18" i="37"/>
  <c r="X17" i="37"/>
  <c r="P17" i="37"/>
  <c r="J17" i="37"/>
  <c r="B17" i="37" s="1"/>
  <c r="I17" i="37"/>
  <c r="X16" i="37"/>
  <c r="P16" i="37"/>
  <c r="J16" i="37"/>
  <c r="A16" i="37" s="1"/>
  <c r="C16" i="37" s="1"/>
  <c r="I16" i="37"/>
  <c r="B16" i="37"/>
  <c r="X15" i="37"/>
  <c r="P15" i="37"/>
  <c r="J15" i="37"/>
  <c r="B15" i="37" s="1"/>
  <c r="I15" i="37"/>
  <c r="X14" i="37"/>
  <c r="P14" i="37"/>
  <c r="J14" i="37"/>
  <c r="I14" i="37"/>
  <c r="B14" i="37"/>
  <c r="A14" i="37"/>
  <c r="C14" i="37" s="1"/>
  <c r="X13" i="37"/>
  <c r="P13" i="37"/>
  <c r="J13" i="37"/>
  <c r="B13" i="37" s="1"/>
  <c r="I13" i="37"/>
  <c r="J4" i="37"/>
  <c r="N2" i="37"/>
  <c r="O28" i="37" s="1"/>
  <c r="I75" i="30"/>
  <c r="O100" i="30"/>
  <c r="P88" i="30"/>
  <c r="P89" i="30"/>
  <c r="P90" i="30"/>
  <c r="P91" i="30"/>
  <c r="P92" i="30"/>
  <c r="P93" i="30"/>
  <c r="P74" i="30"/>
  <c r="P75" i="30"/>
  <c r="P76" i="30"/>
  <c r="P77" i="30"/>
  <c r="P73" i="30"/>
  <c r="T66" i="30"/>
  <c r="T67" i="30"/>
  <c r="T65" i="30"/>
  <c r="V58" i="30"/>
  <c r="V59" i="30"/>
  <c r="V57" i="30"/>
  <c r="Q51" i="30"/>
  <c r="AG43" i="30"/>
  <c r="AG44" i="30"/>
  <c r="AG42" i="30"/>
  <c r="N2" i="30"/>
  <c r="O83" i="30"/>
  <c r="O82" i="30"/>
  <c r="D8" i="36"/>
  <c r="B8" i="36"/>
  <c r="B82" i="30"/>
  <c r="F4" i="36"/>
  <c r="H4" i="36" s="1"/>
  <c r="D4" i="36"/>
  <c r="C4" i="36"/>
  <c r="C3" i="36"/>
  <c r="D3" i="36"/>
  <c r="F3" i="36"/>
  <c r="H3" i="36" s="1"/>
  <c r="C25" i="35"/>
  <c r="C24" i="35"/>
  <c r="C28" i="35"/>
  <c r="C29" i="35"/>
  <c r="B21" i="37" l="1"/>
  <c r="A24" i="37"/>
  <c r="C24" i="37" s="1"/>
  <c r="A18" i="37"/>
  <c r="C18" i="37" s="1"/>
  <c r="J4" i="36"/>
  <c r="C53" i="37"/>
  <c r="O13" i="37"/>
  <c r="O19" i="37"/>
  <c r="O17" i="37"/>
  <c r="L2" i="37"/>
  <c r="L1" i="37" s="1"/>
  <c r="O15" i="37"/>
  <c r="O21" i="37"/>
  <c r="A13" i="37"/>
  <c r="C13" i="37" s="1"/>
  <c r="A15" i="37"/>
  <c r="C15" i="37" s="1"/>
  <c r="A17" i="37"/>
  <c r="C17" i="37" s="1"/>
  <c r="A19" i="37"/>
  <c r="C19" i="37" s="1"/>
  <c r="A21" i="37"/>
  <c r="C21" i="37" s="1"/>
  <c r="A23" i="37"/>
  <c r="C23" i="37" s="1"/>
  <c r="A25" i="37"/>
  <c r="C25" i="37" s="1"/>
  <c r="A27" i="37"/>
  <c r="C27" i="37" s="1"/>
  <c r="O23" i="37"/>
  <c r="O25" i="37"/>
  <c r="O27" i="37"/>
  <c r="O14" i="37"/>
  <c r="O16" i="37"/>
  <c r="O18" i="37"/>
  <c r="O20" i="37"/>
  <c r="O22" i="37"/>
  <c r="O24" i="37"/>
  <c r="O26" i="37"/>
  <c r="J3" i="36"/>
  <c r="A82" i="30" l="1"/>
  <c r="A30" i="37"/>
  <c r="C30" i="37"/>
  <c r="B51" i="30"/>
  <c r="J22" i="30"/>
  <c r="J15" i="30"/>
  <c r="B15" i="32"/>
  <c r="P9" i="30"/>
  <c r="B102" i="30"/>
  <c r="B95" i="30"/>
  <c r="B61" i="30"/>
  <c r="B38" i="30"/>
  <c r="B53" i="30" l="1"/>
  <c r="C51" i="30"/>
  <c r="C53" i="30" s="1"/>
  <c r="C23" i="35"/>
  <c r="C4" i="34"/>
  <c r="S4" i="34" s="1"/>
  <c r="D4" i="34"/>
  <c r="E4" i="34" s="1"/>
  <c r="I4" i="34"/>
  <c r="J4" i="34"/>
  <c r="K4" i="34" s="1"/>
  <c r="R4" i="34"/>
  <c r="C5" i="34"/>
  <c r="S5" i="34" s="1"/>
  <c r="D5" i="34"/>
  <c r="E5" i="34" s="1"/>
  <c r="I5" i="34"/>
  <c r="J5" i="34"/>
  <c r="K5" i="34" s="1"/>
  <c r="R5" i="34"/>
  <c r="C3" i="34"/>
  <c r="S3" i="34" s="1"/>
  <c r="R3" i="34"/>
  <c r="J3" i="34"/>
  <c r="K3" i="34" s="1"/>
  <c r="W4" i="34" l="1"/>
  <c r="H5" i="34"/>
  <c r="G4" i="34"/>
  <c r="U4" i="34" s="1"/>
  <c r="G5" i="34"/>
  <c r="U5" i="34" s="1"/>
  <c r="W5" i="34"/>
  <c r="H4" i="34"/>
  <c r="T4" i="34"/>
  <c r="T5" i="34"/>
  <c r="B67" i="30" l="1"/>
  <c r="B66" i="30"/>
  <c r="V5" i="34"/>
  <c r="V4" i="34"/>
  <c r="I3" i="34"/>
  <c r="D3" i="34"/>
  <c r="H3" i="34" s="1"/>
  <c r="A99" i="30"/>
  <c r="A89" i="30"/>
  <c r="A90" i="30"/>
  <c r="A91" i="30"/>
  <c r="A92" i="30"/>
  <c r="A93" i="30"/>
  <c r="A88" i="30"/>
  <c r="I77" i="30"/>
  <c r="I76" i="30"/>
  <c r="G77" i="30"/>
  <c r="D29" i="35"/>
  <c r="D27" i="35"/>
  <c r="D23" i="35"/>
  <c r="D28" i="35"/>
  <c r="D25" i="35"/>
  <c r="D24" i="35"/>
  <c r="G75" i="30"/>
  <c r="G76" i="30"/>
  <c r="G74" i="30"/>
  <c r="O16" i="35"/>
  <c r="P19" i="35"/>
  <c r="P20" i="35"/>
  <c r="A67" i="30" l="1"/>
  <c r="A66" i="30"/>
  <c r="A95" i="30"/>
  <c r="H31" i="35"/>
  <c r="B73" i="30"/>
  <c r="A73" i="30"/>
  <c r="B74" i="30"/>
  <c r="A74" i="30"/>
  <c r="B75" i="30"/>
  <c r="A75" i="30"/>
  <c r="B76" i="30"/>
  <c r="A76" i="30"/>
  <c r="B77" i="30"/>
  <c r="A77" i="30"/>
  <c r="W3" i="34"/>
  <c r="E3" i="34"/>
  <c r="G3" i="34"/>
  <c r="U3" i="34" s="1"/>
  <c r="T3" i="34"/>
  <c r="P9" i="35"/>
  <c r="P10" i="35"/>
  <c r="B65" i="30" l="1"/>
  <c r="B69" i="30" s="1"/>
  <c r="B79" i="30"/>
  <c r="A79" i="30"/>
  <c r="V3" i="34"/>
  <c r="C89" i="30"/>
  <c r="C90" i="30"/>
  <c r="C91" i="30"/>
  <c r="C92" i="30"/>
  <c r="C93" i="30"/>
  <c r="A100" i="30"/>
  <c r="A102" i="30" s="1"/>
  <c r="A65" i="30" l="1"/>
  <c r="C88" i="30"/>
  <c r="C95" i="30" s="1"/>
  <c r="A58" i="30"/>
  <c r="A59" i="30"/>
  <c r="A69" i="30" l="1"/>
  <c r="C65" i="30"/>
  <c r="A61" i="30"/>
  <c r="J33" i="30"/>
  <c r="A33" i="30" s="1"/>
  <c r="J34" i="30"/>
  <c r="A34" i="30" s="1"/>
  <c r="C34" i="30" s="1"/>
  <c r="J35" i="30"/>
  <c r="A35" i="30" s="1"/>
  <c r="C35" i="30" s="1"/>
  <c r="J36" i="30"/>
  <c r="A36" i="30" s="1"/>
  <c r="C36" i="30" s="1"/>
  <c r="J32" i="30"/>
  <c r="P15" i="30"/>
  <c r="P16" i="30"/>
  <c r="P17" i="30"/>
  <c r="P18" i="30"/>
  <c r="P19" i="30"/>
  <c r="P20" i="30"/>
  <c r="P21" i="30"/>
  <c r="P22" i="30"/>
  <c r="P23" i="30"/>
  <c r="P24" i="30"/>
  <c r="P25" i="30"/>
  <c r="P26" i="30"/>
  <c r="P27" i="30"/>
  <c r="P28" i="30"/>
  <c r="C16" i="33"/>
  <c r="C17" i="33"/>
  <c r="C21" i="33"/>
  <c r="C22" i="33"/>
  <c r="C23" i="33"/>
  <c r="C27" i="33"/>
  <c r="C28" i="33"/>
  <c r="C29" i="33"/>
  <c r="C33" i="33"/>
  <c r="C34" i="33"/>
  <c r="C35" i="33"/>
  <c r="C39" i="33"/>
  <c r="C40" i="33"/>
  <c r="C41" i="33"/>
  <c r="C45" i="33"/>
  <c r="C46" i="33"/>
  <c r="C47" i="33"/>
  <c r="C15" i="33"/>
  <c r="M51" i="33"/>
  <c r="B8" i="33"/>
  <c r="D8" i="33"/>
  <c r="E8" i="33"/>
  <c r="F8" i="33"/>
  <c r="G8" i="33"/>
  <c r="H8" i="33"/>
  <c r="J8" i="33"/>
  <c r="K8" i="33"/>
  <c r="M8" i="33"/>
  <c r="N8" i="33"/>
  <c r="O8" i="33"/>
  <c r="P8" i="33"/>
  <c r="Q8" i="33"/>
  <c r="R8" i="33"/>
  <c r="S8" i="33"/>
  <c r="T8" i="33"/>
  <c r="B9" i="33"/>
  <c r="D9" i="33"/>
  <c r="E9" i="33"/>
  <c r="F9" i="33"/>
  <c r="G9" i="33"/>
  <c r="H9" i="33"/>
  <c r="I9" i="33"/>
  <c r="J9" i="33"/>
  <c r="K9" i="33"/>
  <c r="L9" i="33" s="1"/>
  <c r="M9" i="33"/>
  <c r="N9" i="33"/>
  <c r="O9" i="33"/>
  <c r="P9" i="33"/>
  <c r="Q9" i="33"/>
  <c r="R9" i="33"/>
  <c r="S9" i="33"/>
  <c r="T9" i="33"/>
  <c r="B7" i="33"/>
  <c r="J7" i="33"/>
  <c r="N7" i="33"/>
  <c r="O7" i="33"/>
  <c r="P7" i="33"/>
  <c r="Q7" i="33"/>
  <c r="R7" i="33"/>
  <c r="S7" i="33"/>
  <c r="T7" i="33"/>
  <c r="M7" i="33"/>
  <c r="E7" i="33"/>
  <c r="F7" i="33"/>
  <c r="G7" i="33"/>
  <c r="H7" i="33"/>
  <c r="I7" i="33"/>
  <c r="K7" i="33"/>
  <c r="D7" i="33"/>
  <c r="L8" i="33" l="1"/>
  <c r="O10" i="30"/>
  <c r="O11" i="30"/>
  <c r="O12" i="30"/>
  <c r="O13" i="30"/>
  <c r="O14" i="30"/>
  <c r="L27" i="33"/>
  <c r="L7" i="33"/>
  <c r="N33" i="33"/>
  <c r="N35" i="33"/>
  <c r="B14" i="32"/>
  <c r="A32" i="30"/>
  <c r="A38" i="30" s="1"/>
  <c r="B13" i="32"/>
  <c r="C33" i="30"/>
  <c r="K45" i="33"/>
  <c r="N45" i="33"/>
  <c r="K39" i="33"/>
  <c r="M39" i="33" s="1"/>
  <c r="L45" i="33"/>
  <c r="K47" i="33"/>
  <c r="K33" i="33"/>
  <c r="L33" i="33" s="1"/>
  <c r="K27" i="33"/>
  <c r="K35" i="33"/>
  <c r="L35" i="33" s="1"/>
  <c r="K23" i="33"/>
  <c r="M23" i="33" s="1"/>
  <c r="K41" i="33"/>
  <c r="M41" i="33" s="1"/>
  <c r="N47" i="33"/>
  <c r="L47" i="33"/>
  <c r="L16" i="33"/>
  <c r="K40" i="33"/>
  <c r="M40" i="33" s="1"/>
  <c r="N34" i="33"/>
  <c r="N46" i="33"/>
  <c r="K28" i="33"/>
  <c r="K46" i="33"/>
  <c r="K34" i="33"/>
  <c r="L34" i="33" s="1"/>
  <c r="K22" i="33"/>
  <c r="M22" i="33" s="1"/>
  <c r="L46" i="33"/>
  <c r="K21" i="33"/>
  <c r="M21" i="33" s="1"/>
  <c r="L29" i="33"/>
  <c r="K17" i="33"/>
  <c r="N17" i="33"/>
  <c r="L17" i="33"/>
  <c r="N29" i="33"/>
  <c r="B44" i="30" s="1"/>
  <c r="N27" i="33"/>
  <c r="K29" i="33"/>
  <c r="N28" i="33"/>
  <c r="L28" i="33"/>
  <c r="N15" i="33"/>
  <c r="K16" i="33"/>
  <c r="N16" i="33"/>
  <c r="K15" i="33"/>
  <c r="L15" i="33"/>
  <c r="B85" i="30"/>
  <c r="A85" i="30"/>
  <c r="C100" i="30"/>
  <c r="O33" i="30"/>
  <c r="O34" i="30"/>
  <c r="O35" i="30"/>
  <c r="O36" i="30"/>
  <c r="O32" i="30"/>
  <c r="J3" i="29"/>
  <c r="H3" i="29"/>
  <c r="H6" i="29" s="1"/>
  <c r="J2" i="29"/>
  <c r="H2" i="29"/>
  <c r="H5" i="29" s="1"/>
  <c r="C47" i="30" l="1"/>
  <c r="B43" i="30"/>
  <c r="C45" i="30"/>
  <c r="C46" i="30"/>
  <c r="B104" i="37"/>
  <c r="B107" i="37" s="1"/>
  <c r="B42" i="30"/>
  <c r="O2" i="30"/>
  <c r="L2" i="30" s="1"/>
  <c r="L1" i="30" s="1"/>
  <c r="M45" i="33"/>
  <c r="M29" i="33"/>
  <c r="M33" i="33"/>
  <c r="M17" i="33"/>
  <c r="M35" i="33"/>
  <c r="M27" i="33"/>
  <c r="M47" i="33"/>
  <c r="M16" i="33"/>
  <c r="M34" i="33"/>
  <c r="M46" i="33"/>
  <c r="M28" i="33"/>
  <c r="M15" i="33"/>
  <c r="H7" i="29"/>
  <c r="A43" i="30" l="1"/>
  <c r="C43" i="30" s="1"/>
  <c r="A104" i="37"/>
  <c r="C104" i="37"/>
  <c r="C107" i="37" s="1"/>
  <c r="A44" i="30"/>
  <c r="C44" i="30" s="1"/>
  <c r="A42" i="30"/>
  <c r="C99" i="30"/>
  <c r="C102" i="30" s="1"/>
  <c r="J28" i="30"/>
  <c r="I28" i="30"/>
  <c r="B10" i="30"/>
  <c r="B11" i="30"/>
  <c r="I15" i="30"/>
  <c r="B15" i="30" s="1"/>
  <c r="I16" i="30"/>
  <c r="J16" i="30"/>
  <c r="I17" i="30"/>
  <c r="J17" i="30"/>
  <c r="I18" i="30"/>
  <c r="J18" i="30"/>
  <c r="I19" i="30"/>
  <c r="J19" i="30"/>
  <c r="I20" i="30"/>
  <c r="J20" i="30"/>
  <c r="I21" i="30"/>
  <c r="J21" i="30"/>
  <c r="I22" i="30"/>
  <c r="B22" i="30" s="1"/>
  <c r="I23" i="30"/>
  <c r="J23" i="30"/>
  <c r="I24" i="30"/>
  <c r="J24" i="30"/>
  <c r="I25" i="30"/>
  <c r="J25" i="30"/>
  <c r="I26" i="30"/>
  <c r="J26" i="30"/>
  <c r="I27" i="30"/>
  <c r="J27" i="30"/>
  <c r="I9" i="30"/>
  <c r="A9" i="30" s="1"/>
  <c r="C75" i="30"/>
  <c r="B26" i="30" l="1"/>
  <c r="B12" i="30"/>
  <c r="A107" i="37"/>
  <c r="D107" i="37"/>
  <c r="B13" i="30"/>
  <c r="B25" i="30"/>
  <c r="B21" i="30"/>
  <c r="B17" i="30"/>
  <c r="C9" i="30"/>
  <c r="B9" i="30"/>
  <c r="B19" i="30"/>
  <c r="B24" i="30"/>
  <c r="B23" i="30"/>
  <c r="B27" i="30"/>
  <c r="B18" i="30"/>
  <c r="A18" i="30"/>
  <c r="C18" i="30" s="1"/>
  <c r="B16" i="30"/>
  <c r="B28" i="30"/>
  <c r="B14" i="30"/>
  <c r="B20" i="30"/>
  <c r="A12" i="30"/>
  <c r="C12" i="30" s="1"/>
  <c r="A11" i="30"/>
  <c r="C11" i="30" s="1"/>
  <c r="A24" i="30"/>
  <c r="C24" i="30" s="1"/>
  <c r="C42" i="30"/>
  <c r="C49" i="30" s="1"/>
  <c r="A27" i="30"/>
  <c r="C27" i="30" s="1"/>
  <c r="A21" i="30"/>
  <c r="C21" i="30" s="1"/>
  <c r="A15" i="30"/>
  <c r="C15" i="30" s="1"/>
  <c r="A22" i="30"/>
  <c r="C22" i="30" s="1"/>
  <c r="A16" i="30"/>
  <c r="C16" i="30" s="1"/>
  <c r="A23" i="30"/>
  <c r="C23" i="30" s="1"/>
  <c r="A17" i="30"/>
  <c r="C17" i="30" s="1"/>
  <c r="A28" i="30"/>
  <c r="C28" i="30" s="1"/>
  <c r="A13" i="30"/>
  <c r="C13" i="30" s="1"/>
  <c r="A10" i="30"/>
  <c r="C10" i="30" s="1"/>
  <c r="A26" i="30"/>
  <c r="C26" i="30" s="1"/>
  <c r="A20" i="30"/>
  <c r="C20" i="30" s="1"/>
  <c r="A14" i="30"/>
  <c r="C14" i="30" s="1"/>
  <c r="A25" i="30"/>
  <c r="C25" i="30" s="1"/>
  <c r="A19" i="30"/>
  <c r="C19" i="30" s="1"/>
  <c r="A30" i="30" l="1"/>
  <c r="X10" i="30"/>
  <c r="X11" i="30"/>
  <c r="X12" i="30"/>
  <c r="X13" i="30"/>
  <c r="X14" i="30"/>
  <c r="X15" i="30"/>
  <c r="X16" i="30"/>
  <c r="X17" i="30"/>
  <c r="X18" i="30"/>
  <c r="X19" i="30"/>
  <c r="X20" i="30"/>
  <c r="X21" i="30"/>
  <c r="X22" i="30"/>
  <c r="X23" i="30"/>
  <c r="X24" i="30"/>
  <c r="X25" i="30"/>
  <c r="X26" i="30"/>
  <c r="X27" i="30"/>
  <c r="X28" i="30"/>
  <c r="X9" i="30"/>
  <c r="O9" i="30" l="1"/>
  <c r="O22" i="30"/>
  <c r="C77" i="30"/>
  <c r="O25" i="30"/>
  <c r="C32" i="30"/>
  <c r="C38" i="30" s="1"/>
  <c r="C82" i="30"/>
  <c r="O15" i="30"/>
  <c r="C59" i="30"/>
  <c r="L34" i="30"/>
  <c r="C83" i="30"/>
  <c r="C74" i="30"/>
  <c r="O23" i="30"/>
  <c r="O26" i="30"/>
  <c r="L35" i="30"/>
  <c r="C67" i="30"/>
  <c r="O20" i="30"/>
  <c r="C58" i="30"/>
  <c r="O17" i="30"/>
  <c r="O28" i="30"/>
  <c r="L32" i="30"/>
  <c r="C66" i="30"/>
  <c r="O19" i="30"/>
  <c r="O16" i="30"/>
  <c r="O24" i="30"/>
  <c r="O27" i="30"/>
  <c r="L36" i="30"/>
  <c r="O21" i="30"/>
  <c r="O18" i="30"/>
  <c r="C76" i="30"/>
  <c r="C30" i="30"/>
  <c r="C57" i="30"/>
  <c r="C73" i="30"/>
  <c r="L33" i="30"/>
  <c r="C79" i="30" l="1"/>
  <c r="C61" i="30"/>
  <c r="C69" i="30"/>
  <c r="C85" i="30"/>
  <c r="C104" i="30" l="1"/>
  <c r="C107" i="30" s="1"/>
  <c r="B49" i="30"/>
  <c r="B104" i="30" s="1"/>
  <c r="B107" i="30" s="1"/>
  <c r="A49" i="30"/>
  <c r="A104" i="30" s="1"/>
  <c r="D107" i="30" l="1"/>
  <c r="A107"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tc={AAE154FC-EE69-441C-B1A0-DE41E0A2DB47}</author>
    <author>tc={8FCC2058-9441-433E-B70E-4BC05A4619C6}</author>
    <author>tc={FA8DD3C4-9E4C-4CE8-9AAA-E672AD359344}</author>
  </authors>
  <commentList>
    <comment ref="B53" authorId="0" shapeId="0" xr:uid="{AAE154FC-EE69-441C-B1A0-DE41E0A2DB47}">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https://trm.veic.org/dcseu/contents/characterizations/1019/low-flow-showerhead</t>
      </text>
    </comment>
    <comment ref="B54" authorId="1" shapeId="0" xr:uid="{8FCC2058-9441-433E-B70E-4BC05A4619C6}">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https://trm.veic.org/dcseu/contents/characterizations/762/faucet-aerators</t>
      </text>
    </comment>
    <comment ref="A76" authorId="2" shapeId="0" xr:uid="{FA8DD3C4-9E4C-4CE8-9AAA-E672AD359344}">
      <text>
        <t>[Threaded comment]
Your version of Excel allows you to read this threaded comment; however, any edits to it will get removed if the file is opened in a newer version of Excel. Learn more: https://go.microsoft.com/fwlink/?linkid=870924
Comment:
    https://trm.veic.org/evt/contents/characterizations/939/energy-star-residential-ventilation-fans-non-continuous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tc={1AD95DE4-1DB6-49F4-AC00-E3C6CBAA35D2}</author>
    <author>tc={70006DD1-DD62-4C72-9FCE-64F9AC8D2B97}</author>
    <author>tc={6E062853-B7A5-4FB7-951E-362DFB597512}</author>
    <author>tc={D1B6C776-B9CB-4FBA-B690-607C02E6BAA1}</author>
    <author>tc={2D61DAFF-0F2A-42E5-A5CE-29B87C6154C4}</author>
    <author>tc={AF715B0F-603F-41F5-95E9-01E099C94C0B}</author>
    <author>tc={5BFDD901-9BC8-4D77-AECA-9C659F5C9783}</author>
    <author>tc={A1046025-4C80-4FB8-8A3D-C05B11C58C91}</author>
    <author>tc={ACD11E56-D19D-419C-853F-9B6DEF44D5A8}</author>
    <author>tc={F6154CF4-C552-4ED5-9F28-6D78C1706310}</author>
    <author>tc={DAD7DF9D-F888-4483-A5C8-3B1AB67CF121}</author>
  </authors>
  <commentList>
    <comment ref="L14" authorId="0" shapeId="0" xr:uid="{1AD95DE4-1DB6-49F4-AC00-E3C6CBAA35D2}">
      <text>
        <t>[Threaded comment]
Your version of Excel allows you to read this threaded comment; however, any edits to it will get removed if the file is opened in a newer version of Excel. Learn more: https://go.microsoft.com/fwlink/?linkid=870924
Comment:
    Heating penalty is not calculated for the purpose of this tool since it doesn't count against the yield.</t>
      </text>
    </comment>
    <comment ref="B15" authorId="1" shapeId="0" xr:uid="{70006DD1-DD62-4C72-9FCE-64F9AC8D2B97}">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https://trm.veic.org/dcseu/contents/characterizations/1097/variable-frequency-drives-vfd</t>
      </text>
    </comment>
    <comment ref="B18" authorId="2" shapeId="0" xr:uid="{6E062853-B7A5-4FB7-951E-362DFB597512}">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https://trm.veic.org/dcseu/contents/characterizations/1097/variable-frequency-drives-vfd</t>
      </text>
    </comment>
    <comment ref="B21" authorId="3" shapeId="0" xr:uid="{D1B6C776-B9CB-4FBA-B690-607C02E6BAA1}">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https://trm.veic.org/dcseu/contents/characterizations/1097/variable-frequency-drives-vfd</t>
      </text>
    </comment>
    <comment ref="B24" authorId="4" shapeId="0" xr:uid="{2D61DAFF-0F2A-42E5-A5CE-29B87C6154C4}">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https://trm.veic.org/dcseu/contents/characterizations/1097/variable-frequency-drives-vfd</t>
      </text>
    </comment>
    <comment ref="B27" authorId="5" shapeId="0" xr:uid="{AF715B0F-603F-41F5-95E9-01E099C94C0B}">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https://trm.veic.org/dcseu/contents/characterizations/1184/ductless-mini-split-heat-pump</t>
      </text>
    </comment>
    <comment ref="B30" authorId="6" shapeId="0" xr:uid="{5BFDD901-9BC8-4D77-AECA-9C659F5C9783}">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https://trm.veic.org/dcseu/contents/characterizations/1184/ductless-mini-split-heat-pump</t>
      </text>
    </comment>
    <comment ref="B33" authorId="7" shapeId="0" xr:uid="{A1046025-4C80-4FB8-8A3D-C05B11C58C91}">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https://trm.veic.org/dcseu/contents/characterizations/1186/residential-centrally-ducted-air-source-heat-pump
Reply:
    Although we started with the TRM, we wanted to align the electric heating savings with the ductless mini-split method so as not to overestimate savings.</t>
      </text>
    </comment>
    <comment ref="B36" authorId="8" shapeId="0" xr:uid="{ACD11E56-D19D-419C-853F-9B6DEF44D5A8}">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https://trm.veic.org/dcseu/contents/characterizations/1186/residential-centrally-ducted-air-source-heat-pump
Reply:
    Although we started with the TRM, we wanted to align the electric heating savings with the ductless mini-split method so as not to overestimate savings.</t>
      </text>
    </comment>
    <comment ref="B39" authorId="9" shapeId="0" xr:uid="{F6154CF4-C552-4ED5-9F28-6D78C1706310}">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https://trm.veic.org/dcseu/contents/characterizations/1175/high-efficiency-central-air-conditioning</t>
      </text>
    </comment>
    <comment ref="B42" authorId="10" shapeId="0" xr:uid="{DAD7DF9D-F888-4483-A5C8-3B1AB67CF121}">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https://trm.veic.org/dcseu/contents/characterizations/1175/high-efficiency-central-air-conditioning</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tc={B8606129-0ACD-4F67-ADAD-3685F902E5D5}</author>
    <author>tc={DB0FF48C-2C82-4BCF-99C0-E59706515AE5}</author>
  </authors>
  <commentList>
    <comment ref="A1" authorId="0" shapeId="0" xr:uid="{B8606129-0ACD-4F67-ADAD-3685F902E5D5}">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https://trm.veic.org/dcseu/contents/characterizations/1132/solid-state-led-fixtures</t>
      </text>
    </comment>
    <comment ref="A12" authorId="1" shapeId="0" xr:uid="{DB0FF48C-2C82-4BCF-99C0-E59706515AE5}">
      <text>
        <t>[Threaded comment]
Your version of Excel allows you to read this threaded comment; however, any edits to it will get removed if the file is opened in a newer version of Excel. Learn more: https://go.microsoft.com/fwlink/?linkid=870924
Comment:
    https://trm.veic.org/dcseu/contents/characterizations/1123/lighting-controls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tc={01281F28-E9EF-43DA-A2EE-ED27F2350732}</author>
    <author>tc={1523B5E0-2A0A-4ADF-9024-B0FA26948D40}</author>
  </authors>
  <commentList>
    <comment ref="B1" authorId="0" shapeId="0" xr:uid="{01281F28-E9EF-43DA-A2EE-ED27F2350732}">
      <text>
        <t xml:space="preserve">[Threaded comment]
Your version of Excel allows you to read this threaded comment; however, any edits to it will get removed if the file is opened in a newer version of Excel. Learn more: https://go.microsoft.com/fwlink/?linkid=870924
Comment:
    DHW pipe insulation (veic.org) </t>
      </text>
    </comment>
    <comment ref="B6" authorId="1" shapeId="0" xr:uid="{1523B5E0-2A0A-4ADF-9024-B0FA26948D40}">
      <text>
        <t xml:space="preserve">[Threaded comment]
Your version of Excel allows you to read this threaded comment; however, any edits to it will get removed if the file is opened in a newer version of Excel. Learn more: https://go.microsoft.com/fwlink/?linkid=870924
Comment:
    Tank Wrap (veic.org) </t>
      </text>
    </comment>
  </commentList>
</comments>
</file>

<file path=xl/sharedStrings.xml><?xml version="1.0" encoding="utf-8"?>
<sst xmlns="http://schemas.openxmlformats.org/spreadsheetml/2006/main" count="1558" uniqueCount="507">
  <si>
    <t>IQEF Intake Form General Instructions</t>
  </si>
  <si>
    <t>The purpose of the intake form is DCSEU to receive as much information about the existing and proposed equipment.</t>
  </si>
  <si>
    <t>Below are some specific tips and comments on how to fill out the intake form.</t>
  </si>
  <si>
    <t>The savings and yields calculated in this intake form are estimates. DCSEU will follow-up requesting additional information to calculate a more accurate estimate.</t>
  </si>
  <si>
    <t>Disclaimer: Savings in the Intake Form may not match the savings in the Incentive Agreement.</t>
  </si>
  <si>
    <t>Index:</t>
  </si>
  <si>
    <t>Type Inputs</t>
  </si>
  <si>
    <t>Dropdown Box</t>
  </si>
  <si>
    <t>Tool Automation</t>
  </si>
  <si>
    <t>Tool Calculations</t>
  </si>
  <si>
    <t>General Considerations:</t>
  </si>
  <si>
    <t>#1</t>
  </si>
  <si>
    <t>Please provide photos of a sample of each existing equipment type. Ideally, the photo set would include:</t>
  </si>
  <si>
    <t>a) The door label of the location.</t>
  </si>
  <si>
    <t>b) A wide shot of the equipment.</t>
  </si>
  <si>
    <t>c) A close-up of the equipment. For lighting, the lamp should be visible, including the model number if possible. For HVAC, the nameplate should be visible including the model number and serial number.</t>
  </si>
  <si>
    <t>Lighting:</t>
  </si>
  <si>
    <t>Please refrain from proposing measures if the existing lighting type is LED.</t>
  </si>
  <si>
    <t>#2</t>
  </si>
  <si>
    <t>Proposed lighting measures must be Energy Star or DLC certified.</t>
  </si>
  <si>
    <t>#3</t>
  </si>
  <si>
    <t>If the proposed lighting fixture has an integrated lighting control, enter the controls separeately in the "Controls" section. The "Controlled Wattage" should match the proposed wattage of the lighting upgrade.</t>
  </si>
  <si>
    <t>#4</t>
  </si>
  <si>
    <t>Gas heating penalties due to lighting upgrades are excluded from this tool.</t>
  </si>
  <si>
    <t>Controls:</t>
  </si>
  <si>
    <t>The wattage is the total amount of watts the control serves.</t>
  </si>
  <si>
    <t>If lighting controls are integrated into the fixture/lamps, make sure that the total wattage match the proposed lighting fixture/lamps and not the existing.</t>
  </si>
  <si>
    <t>HVAC:</t>
  </si>
  <si>
    <t>Fuel switch projects require at least 12 months of gas data. This is usually in the form of utility bills. Two examples are below.</t>
  </si>
  <si>
    <t>a)Common area meter or master meter if it’s a central heating plant</t>
  </si>
  <si>
    <t>b)If tenants pay gas bills, then please follow this guidance for sampling utility bills:</t>
  </si>
  <si>
    <t>c) Electric savings presented in this tool exclude any electric heating penalties.</t>
  </si>
  <si>
    <t>d) This tool calculates savings for 1:1 replacements. This tool will not be accurate for upgrades from central heating/cooling plants to heat pumps.</t>
  </si>
  <si>
    <t>It is imperative that we receive efficiencies of the existing HVAC equipment to confirm that the proposed is more efficient.</t>
  </si>
  <si>
    <t>For multi-zone mini-splits, please choose the "Ductless Mini-Split Heat Pump" Option. For VRF systems, please choose "Other" and then write "VRF" in the "Proposed Equipment Description" field.</t>
  </si>
  <si>
    <t>Advanced Thermostats:</t>
  </si>
  <si>
    <t>We can consider proposals for advanced thermostats (not programmable).</t>
  </si>
  <si>
    <t>DCSEU only supports Energy Star advanced thermostats.</t>
  </si>
  <si>
    <t>Water Efficiency (Faucets/Showerheads)</t>
  </si>
  <si>
    <t>Make sure that the GPM is visible on the data sheet.</t>
  </si>
  <si>
    <t>Include the hot water heating type for each fixture.</t>
  </si>
  <si>
    <t>Domestic Hot Water Heaters:</t>
  </si>
  <si>
    <t>We can only consider proposals for heat pump water heaters.</t>
  </si>
  <si>
    <t>Variable Frequency Drives:</t>
  </si>
  <si>
    <t>Please indicate whether the proposal is for a retrofit onto an existing motor or if the motor will be upgraded.</t>
  </si>
  <si>
    <t>This tool is not meant to estimate savings for motors greater than 15 HP. In these cases, DCSEU will follow-up requesting additional information.</t>
  </si>
  <si>
    <t>Total Materials Cost</t>
  </si>
  <si>
    <t>Total Labor Cost</t>
  </si>
  <si>
    <t>TOTAL PROJECT COST</t>
  </si>
  <si>
    <t>&lt;&lt;&lt;Manual Entry</t>
  </si>
  <si>
    <t>&lt;&lt;&lt;For comparison, calculated sum of total materials &amp; labor costs entered.</t>
  </si>
  <si>
    <t>CUSTOMER CONTRIBUTION</t>
  </si>
  <si>
    <t>Project Site Address:</t>
  </si>
  <si>
    <t>REQUESTED INCENTIVE</t>
  </si>
  <si>
    <t xml:space="preserve">This form must be submitted along with the Income Qualified Efficiency Fund Application, to include corresponding specification sheets for the measures listed in this form. </t>
  </si>
  <si>
    <t>Lighting</t>
  </si>
  <si>
    <t>Enter existing equipment information &gt;&gt;&gt;</t>
  </si>
  <si>
    <t xml:space="preserve">Existing Fixture/Lamp Description
</t>
  </si>
  <si>
    <t>Space Type</t>
  </si>
  <si>
    <t>Commercial or Residential Area</t>
  </si>
  <si>
    <t>Existing Operating Hours</t>
  </si>
  <si>
    <t>Existing Watts per Fixture (W)</t>
  </si>
  <si>
    <t>Existing Quantity</t>
  </si>
  <si>
    <t>Space Conditioning</t>
  </si>
  <si>
    <t>Existing Photo File Name</t>
  </si>
  <si>
    <t>Enter proposed equipment information 
&gt;&gt;&gt;</t>
  </si>
  <si>
    <t>Proposed Bulbs and Fixtures</t>
  </si>
  <si>
    <t>Proposed Manufacturer</t>
  </si>
  <si>
    <t>Proposed Model</t>
  </si>
  <si>
    <t>Proposed Watts per Fixture (W)</t>
  </si>
  <si>
    <t>Proposed Quantity</t>
  </si>
  <si>
    <t>Is it Energy Star or DLC Certified?</t>
  </si>
  <si>
    <t>Materials Cost (per Bulb or Fixture)</t>
  </si>
  <si>
    <t>Labor Cost (per Bulb or Fixture)</t>
  </si>
  <si>
    <t>Total Unit Cost</t>
  </si>
  <si>
    <t>Per Unit Electric Savings
(kWh)</t>
  </si>
  <si>
    <t>Savings accounting for quantities (kWh)</t>
  </si>
  <si>
    <t>Per Unit Total Savings
(Equivalent MMBtu)</t>
  </si>
  <si>
    <t>ECM Type: Proposed Bulbs and Fixtures</t>
  </si>
  <si>
    <t>If there is a mix of different existing fixtures/lamps (fluorescents &amp; incandescents, for example) for the same proposed line item, then please describe the mix of existing lighting stock in detail.</t>
  </si>
  <si>
    <t>Select</t>
  </si>
  <si>
    <t>Choose Here</t>
  </si>
  <si>
    <t>Subtotal Savings for Full Quantity of Equipment</t>
  </si>
  <si>
    <t>Enter kW lighting load connected to control device</t>
  </si>
  <si>
    <t>Represents percentage reduction in operating hours and/or wattage reduction</t>
  </si>
  <si>
    <t>ECM Type: Controls</t>
  </si>
  <si>
    <t>Location</t>
  </si>
  <si>
    <t>Controlled Wattage (Watts)</t>
  </si>
  <si>
    <t>Savings Factor (%)</t>
  </si>
  <si>
    <t>Quantity</t>
  </si>
  <si>
    <t>Total Installed Cost</t>
  </si>
  <si>
    <t>Materials Cost per Unit</t>
  </si>
  <si>
    <t>Labor Cost per Unit</t>
  </si>
  <si>
    <t>Select a Control</t>
  </si>
  <si>
    <t>Heat Pumps &amp; Air-conditioning</t>
  </si>
  <si>
    <t>Per Unit Gas Savings
(MMBtu)</t>
  </si>
  <si>
    <t xml:space="preserve">ECM Type / Proposed Upgrade: </t>
  </si>
  <si>
    <t>Space(s) Served</t>
  </si>
  <si>
    <t>Existing Equipment Description</t>
  </si>
  <si>
    <t>Existing Cooling Capacity (Btu/hr)</t>
  </si>
  <si>
    <t>Existing Full Load Cooling Efficiency</t>
  </si>
  <si>
    <t>Unit</t>
  </si>
  <si>
    <t>Existing Part Load Cooling Efficiency</t>
  </si>
  <si>
    <t>Existing Heating Capacity 
(Btu/hr)</t>
  </si>
  <si>
    <t>Existing Heating Efficiency</t>
  </si>
  <si>
    <t>Unit (Choose AFUE if the existing equipment has gas-fired heating)</t>
  </si>
  <si>
    <t>Existing Equipment Age</t>
  </si>
  <si>
    <t>Enter proposed equipment information &gt;&gt;&gt;</t>
  </si>
  <si>
    <t>Proposed Equipment Description</t>
  </si>
  <si>
    <t>Proposed Cooling Capacity (Btu/hr)</t>
  </si>
  <si>
    <t>Proposed Full Load Cooling Efficiency</t>
  </si>
  <si>
    <t>Proposed Part Load Cooling Efficiency</t>
  </si>
  <si>
    <t>Proposed Heating Capacity 
(Btu/hr)</t>
  </si>
  <si>
    <t>Proposed Heating Efficiency</t>
  </si>
  <si>
    <t>Select a Heat Pump</t>
  </si>
  <si>
    <t>Advanced Thermostat</t>
  </si>
  <si>
    <t>Existing Thermostat Description</t>
  </si>
  <si>
    <t>Heat Type</t>
  </si>
  <si>
    <t>Air Conditioning? (Y/N)</t>
  </si>
  <si>
    <t>Energy Star? (Y/N)</t>
  </si>
  <si>
    <t>Labor Cost
per Unit</t>
  </si>
  <si>
    <t>Energy Star Certified Only</t>
  </si>
  <si>
    <t>Chiller</t>
  </si>
  <si>
    <t xml:space="preserve">ECM Type: </t>
  </si>
  <si>
    <t>Annual Operating Hours</t>
  </si>
  <si>
    <t>Exisintg Cooling Capacity (tons)</t>
  </si>
  <si>
    <t>Existing Full Load [FL] Efficiency (kW/ton)</t>
  </si>
  <si>
    <t>Existing Integrated Part Load Value [IPLV] (kW/ton)</t>
  </si>
  <si>
    <t>Proposed Cooling Capacity (tons)</t>
  </si>
  <si>
    <t>Proposed Full Load [FL] Efficiency (kW/ton)</t>
  </si>
  <si>
    <t>Proposed Integrated Part Load Value [IPLV] (kW/ton)</t>
  </si>
  <si>
    <t>Water cooled, elec. operated, positive displacement</t>
  </si>
  <si>
    <t>Hot Water Heat Pumps</t>
  </si>
  <si>
    <t>Enter total number of units in the proposal.</t>
  </si>
  <si>
    <t>Enter number of household served per unit. If each apartment has its own water heater, then enter 1.</t>
  </si>
  <si>
    <t>Enter whether the space is conditioned by gas-fired heating or electric heating.</t>
  </si>
  <si>
    <t>ECM Type: Water Heating</t>
  </si>
  <si>
    <t>Existing Water Heater Fuel Type</t>
  </si>
  <si>
    <t>Existing UEF</t>
  </si>
  <si>
    <t>Number of Households Served</t>
  </si>
  <si>
    <t>Space Heating Source</t>
  </si>
  <si>
    <t>Proposed 
Model</t>
  </si>
  <si>
    <t>Proposed UEF</t>
  </si>
  <si>
    <t>Proposed Tank Capacity (Gallons)</t>
  </si>
  <si>
    <t>Heat Pump Water Heater</t>
  </si>
  <si>
    <t>Choose One</t>
  </si>
  <si>
    <t>Low Flow Fixtures</t>
  </si>
  <si>
    <t>ECM Type: Hot Water Efficiency
(Aerators, Showerheads &amp; Restrictor Valves)</t>
  </si>
  <si>
    <t>Hot Water Type</t>
  </si>
  <si>
    <t>Existing Flow Rate (GPM)</t>
  </si>
  <si>
    <t>Proposed Flow Rate (GPM)</t>
  </si>
  <si>
    <t>Labor Cost 
per Unit</t>
  </si>
  <si>
    <t>Select Water Conservation</t>
  </si>
  <si>
    <t>Insulation of Hot Water Pipes or Tanks</t>
  </si>
  <si>
    <t>Electric Savings
(kWh)</t>
  </si>
  <si>
    <t>Gas Savings
(MMBtu)</t>
  </si>
  <si>
    <t>Total Savings
(Equivalent MMBtu)</t>
  </si>
  <si>
    <t>Feet of pipe or No. tanks insulated</t>
  </si>
  <si>
    <t>Pipe Diameter (if Pipe Wrap), in inches</t>
  </si>
  <si>
    <t>Pipe Material Description</t>
  </si>
  <si>
    <t>Insulation Thickness, in inches</t>
  </si>
  <si>
    <t>Insulation R-Value</t>
  </si>
  <si>
    <t>Pipe or Tank Temperature (F)</t>
  </si>
  <si>
    <t xml:space="preserve">Total Labor Cost </t>
  </si>
  <si>
    <t>ECM Type: Pipe Insulation</t>
  </si>
  <si>
    <t>ECM Type: Tank Insulation</t>
  </si>
  <si>
    <t>Variable Frequency Drives</t>
  </si>
  <si>
    <t>ECM Type: Application</t>
  </si>
  <si>
    <t>Motor HP</t>
  </si>
  <si>
    <t>Motor Efficiency (%)</t>
  </si>
  <si>
    <t>Retrofit?</t>
  </si>
  <si>
    <t>Select Application</t>
  </si>
  <si>
    <t>Ventilation</t>
  </si>
  <si>
    <t>Exhaust Fan-only, in-unit</t>
  </si>
  <si>
    <t>CFM Rating</t>
  </si>
  <si>
    <t>Efficiency (CFM/Watt)</t>
  </si>
  <si>
    <t>Select One</t>
  </si>
  <si>
    <t>TOTAL (KWh)</t>
  </si>
  <si>
    <t>(MMBtu)</t>
  </si>
  <si>
    <t>(Equiv. MMBtu)</t>
  </si>
  <si>
    <t>Please enter qualitative information for any "Other Measures" below (savings estimates not included).</t>
  </si>
  <si>
    <t>YIELD ($/MWh)</t>
  </si>
  <si>
    <t>($/MMBtu)</t>
  </si>
  <si>
    <t>($/MMBtu Equiv)</t>
  </si>
  <si>
    <r>
      <t>($/MTCO</t>
    </r>
    <r>
      <rPr>
        <vertAlign val="subscript"/>
        <sz val="11"/>
        <color theme="1"/>
        <rFont val="Calibri"/>
        <family val="2"/>
        <scheme val="minor"/>
      </rPr>
      <t>2</t>
    </r>
    <r>
      <rPr>
        <sz val="11"/>
        <color theme="1"/>
        <rFont val="Calibri"/>
        <family val="2"/>
        <scheme val="minor"/>
      </rPr>
      <t xml:space="preserve"> Equiv)</t>
    </r>
  </si>
  <si>
    <t>Electric only</t>
  </si>
  <si>
    <t>Gas only</t>
  </si>
  <si>
    <t>Mixed measures</t>
  </si>
  <si>
    <t>Other Measures</t>
  </si>
  <si>
    <t>Energy Star Appliances</t>
  </si>
  <si>
    <t>Existing Model</t>
  </si>
  <si>
    <t>Hot Water Type, if applicable (for dishwashers and clothes washers)</t>
  </si>
  <si>
    <t>Energy Star Refrigerator</t>
  </si>
  <si>
    <t>Controls</t>
  </si>
  <si>
    <t>Please describe type of controls, such as optimal start, temperature reset, reduced operating schedules, etc.)</t>
  </si>
  <si>
    <t>Please be detailed. The existing operating conditions must be different from proposed operating conditions to be eligible</t>
  </si>
  <si>
    <t>For example, "hp" size for motors or "Btu/h" cooling/heating capacity.</t>
  </si>
  <si>
    <t>Only measures that generate energy savings are prorgam eligible. Data monitoring/ collecting measures (without energy savings) are not program eligible.</t>
  </si>
  <si>
    <t>ECM Type:</t>
  </si>
  <si>
    <t>Type of Equipment Affected</t>
  </si>
  <si>
    <t>Existing Operating Conditions</t>
  </si>
  <si>
    <t>Capacity of Equipment Affected</t>
  </si>
  <si>
    <t>Efficiency of Equipment Affected</t>
  </si>
  <si>
    <t>Quantity of Equipment Affected</t>
  </si>
  <si>
    <t>Proposed Operating Conditions</t>
  </si>
  <si>
    <t>Envelope Measures</t>
  </si>
  <si>
    <t>Please be detailed. For example, air sealing or insulation at doors, windows, walls, or roof.</t>
  </si>
  <si>
    <t>E.g., doors, windows, walls, or roof.</t>
  </si>
  <si>
    <t>Examples:
a) For wall insulation, enter existing R-value of the wall
b) For air sealing, describe assessment of current leaks (may need to include attachment). This may include results of a blower door test or crack survey.</t>
  </si>
  <si>
    <t>Examples:
a) Square footage of insulation
b) Area or length of air sealing</t>
  </si>
  <si>
    <t>Gas or electric; equipment types/capacities/efficiencies</t>
  </si>
  <si>
    <t>ECM Description:</t>
  </si>
  <si>
    <t>Parts of the Envelope Affected</t>
  </si>
  <si>
    <t>Existing Conditions (for the relevant part of the envelope)</t>
  </si>
  <si>
    <t>Quantity of the ECM</t>
  </si>
  <si>
    <t>Description of HVAC System</t>
  </si>
  <si>
    <t>Other/Custom Measure</t>
  </si>
  <si>
    <t>Please fully describe the measure, including quantity, per unit material and labor costs, baseline performance ratings, proposed performance ratings, savings estimates and any other relevant information used to derive savings estimates.</t>
  </si>
  <si>
    <t>1 M St SE, Washington DC</t>
  </si>
  <si>
    <t>LED 4' Linear Replacement Lamp</t>
  </si>
  <si>
    <t>4' T8 lamps</t>
  </si>
  <si>
    <t>Common Area - Indoor Hall/Stairway/Corridor</t>
  </si>
  <si>
    <t>Commercial</t>
  </si>
  <si>
    <t>Heat Pump</t>
  </si>
  <si>
    <t>IMG_001</t>
  </si>
  <si>
    <t>Manufacturer A</t>
  </si>
  <si>
    <t>Model A</t>
  </si>
  <si>
    <t>DLC</t>
  </si>
  <si>
    <t>LED Recessed Lighting Fixture 2X4</t>
  </si>
  <si>
    <t xml:space="preserve">4 lamps per fixture  4' T8  </t>
  </si>
  <si>
    <t>Common Area - Laundry/Common Areas</t>
  </si>
  <si>
    <t>Heating &amp; Cooling</t>
  </si>
  <si>
    <t>IMG_004</t>
  </si>
  <si>
    <t>Model D</t>
  </si>
  <si>
    <t>Energy Star</t>
  </si>
  <si>
    <t>LED Recessed Surface or Pendant Downlight</t>
  </si>
  <si>
    <t xml:space="preserve">High intensity discharge (MH250) </t>
  </si>
  <si>
    <t>Exterior</t>
  </si>
  <si>
    <t>Outdoor</t>
  </si>
  <si>
    <t>No Conditioning</t>
  </si>
  <si>
    <t>IMG_002</t>
  </si>
  <si>
    <t>Model B</t>
  </si>
  <si>
    <t>Delamping</t>
  </si>
  <si>
    <t>26W for island pendant lamps</t>
  </si>
  <si>
    <t>In Unit - Interior</t>
  </si>
  <si>
    <t>Residential</t>
  </si>
  <si>
    <t>IMG_003</t>
  </si>
  <si>
    <t>Model C</t>
  </si>
  <si>
    <t>Remote-Mounted Occ Sensor</t>
  </si>
  <si>
    <t>Interior</t>
  </si>
  <si>
    <t>Fixture-Mounted Daylight Sensor</t>
  </si>
  <si>
    <t/>
  </si>
  <si>
    <t>Commercial Air Source Heat Pump</t>
  </si>
  <si>
    <t>Common Area</t>
  </si>
  <si>
    <t>AC/furnace</t>
  </si>
  <si>
    <t>EER</t>
  </si>
  <si>
    <t>SEER</t>
  </si>
  <si>
    <t>AFUE</t>
  </si>
  <si>
    <t>Mini-Split HP</t>
  </si>
  <si>
    <t>Manufacturer B</t>
  </si>
  <si>
    <t>HSPF</t>
  </si>
  <si>
    <t>Tenant Area</t>
  </si>
  <si>
    <t>PTHP</t>
  </si>
  <si>
    <t>COP</t>
  </si>
  <si>
    <t>Ductless Mini-Split Heat Pump</t>
  </si>
  <si>
    <t xml:space="preserve">Manual </t>
  </si>
  <si>
    <t>Electric</t>
  </si>
  <si>
    <t>Yes</t>
  </si>
  <si>
    <t>Manufacturer C</t>
  </si>
  <si>
    <t>Existing Full Load [FL] Efficiency (EER or kW/ton)</t>
  </si>
  <si>
    <t>Proposed Full Load [FL] Efficiency (EER or kW/ton)</t>
  </si>
  <si>
    <t>Water cooled, elec. operated, centrifugal</t>
  </si>
  <si>
    <t>Church</t>
  </si>
  <si>
    <t>Manufacturer D</t>
  </si>
  <si>
    <t>Gas</t>
  </si>
  <si>
    <t>Manufacturer E</t>
  </si>
  <si>
    <t>Fossil Fuel</t>
  </si>
  <si>
    <t>Kitchen Faucet aerator/flow restrictor</t>
  </si>
  <si>
    <t>Kitchen Faucet aerator/flow restrictorGas</t>
  </si>
  <si>
    <t>Manufacturer F</t>
  </si>
  <si>
    <t>Low flow showerhead</t>
  </si>
  <si>
    <t>Low flow showerheadElectric</t>
  </si>
  <si>
    <t>Select Water ConservationChoose One</t>
  </si>
  <si>
    <t>Copper</t>
  </si>
  <si>
    <t>Cooling Water Pump</t>
  </si>
  <si>
    <t>Retrofit - keeping existing motor</t>
  </si>
  <si>
    <t>Manufacturer G</t>
  </si>
  <si>
    <t>Supply Fan</t>
  </si>
  <si>
    <t>-</t>
  </si>
  <si>
    <t>Manufacturer H</t>
  </si>
  <si>
    <t>Energy Star Dishwasher</t>
  </si>
  <si>
    <t>Model E</t>
  </si>
  <si>
    <t>Energy Star Heat Pump Clothes Dryer</t>
  </si>
  <si>
    <t>Model F</t>
  </si>
  <si>
    <t>Please be detailed. The existing operating conditions must be different from proposed operating conditions to be eligible.</t>
  </si>
  <si>
    <t>Space heating hot water temperature reset at central boiler plant</t>
  </si>
  <si>
    <t>Boiler</t>
  </si>
  <si>
    <t>No reset</t>
  </si>
  <si>
    <t>200 MBh</t>
  </si>
  <si>
    <t>Reset based on outdoor air temperaure</t>
  </si>
  <si>
    <t>Proposed Conditions (for the relevant part of the envelope)</t>
  </si>
  <si>
    <t>Attic insulation</t>
  </si>
  <si>
    <t>Roof at Building A</t>
  </si>
  <si>
    <t>R-30</t>
  </si>
  <si>
    <t>Covering 5,000 SF</t>
  </si>
  <si>
    <t>Split heat pumps serving all apartments</t>
  </si>
  <si>
    <t>R-60</t>
  </si>
  <si>
    <t>Lighting Efficiency</t>
  </si>
  <si>
    <t>MTCO2e conversions used for yield</t>
  </si>
  <si>
    <t>MWh</t>
  </si>
  <si>
    <t>1 MWh =</t>
  </si>
  <si>
    <t>MTCO2e</t>
  </si>
  <si>
    <t>[Metric Tonnes CO2e] = [Modified Gross Electricity Savings (MWh)] x [1,256.49 (lbs CO2e /MWh)] x [0.000453592 (Metric Tonnes/lbs)]</t>
  </si>
  <si>
    <t>No</t>
  </si>
  <si>
    <t>MMBtu</t>
  </si>
  <si>
    <t>1 site MMBtu =</t>
  </si>
  <si>
    <r>
      <t>[Metric Tonnes CO</t>
    </r>
    <r>
      <rPr>
        <i/>
        <sz val="11"/>
        <color rgb="FF000000"/>
        <rFont val="Calibri"/>
        <family val="2"/>
      </rPr>
      <t>2e</t>
    </r>
    <r>
      <rPr>
        <sz val="11"/>
        <color rgb="FF000000"/>
        <rFont val="Calibri"/>
        <family val="2"/>
      </rPr>
      <t>] = [Modified Gross Natural Gas Savings (MMbtu)] x [142.5 (lbs CO</t>
    </r>
    <r>
      <rPr>
        <i/>
        <sz val="11"/>
        <color rgb="FF000000"/>
        <rFont val="Calibri"/>
        <family val="2"/>
      </rPr>
      <t>2e</t>
    </r>
    <r>
      <rPr>
        <sz val="11"/>
        <color rgb="FF000000"/>
        <rFont val="Calibri"/>
        <family val="2"/>
      </rPr>
      <t xml:space="preserve"> /MMBtu)] x [0.000453592 (Metric Tonnes/lbs)]</t>
    </r>
  </si>
  <si>
    <t>LED Suspended Linear Fixture</t>
  </si>
  <si>
    <t>None</t>
  </si>
  <si>
    <t>Test</t>
  </si>
  <si>
    <t>LED 2' Linear Replacement Lamp</t>
  </si>
  <si>
    <t>Mwh</t>
  </si>
  <si>
    <t>MMbtu</t>
  </si>
  <si>
    <t>LED Recessed Lighting Fixture 1X4</t>
  </si>
  <si>
    <t>Sum</t>
  </si>
  <si>
    <t>LED Recessed Lighting Fixture 2X2</t>
  </si>
  <si>
    <t>LED High- and Low-Bay Fixtures</t>
  </si>
  <si>
    <t>LED Flood Light Fixture</t>
  </si>
  <si>
    <t>LED Wall-Mount Area Fixture (Wallpack)</t>
  </si>
  <si>
    <t>LED Outdoor Pole/Arm Area or Roadway Fixture</t>
  </si>
  <si>
    <t>LED Parking Garage/Canopy Fixture</t>
  </si>
  <si>
    <t>Miscellaneous LEDs</t>
  </si>
  <si>
    <t>Lighting Controls</t>
  </si>
  <si>
    <t>Savings Factor Defaults</t>
  </si>
  <si>
    <t>Choose Proposed</t>
  </si>
  <si>
    <t>Exterior Occupancy Sensor</t>
  </si>
  <si>
    <t>Wall Switch Occ Sensor</t>
  </si>
  <si>
    <t>Fixture-Mounted Occ Sensor</t>
  </si>
  <si>
    <t>Remote-Mounted Daylight Sensor</t>
  </si>
  <si>
    <t>Integrated Occupancy Sensor for LED Interior Fixtures &lt; 10,000 Lumens</t>
  </si>
  <si>
    <t>Integrated Occupancy Sensor for LED Interior Fixtures &gt;= 10,000 Lumens</t>
  </si>
  <si>
    <t>Integrated Dual Occupancy &amp; Daylight Sensor for LED Interior Fixtures &lt; 10,000 Lumens</t>
  </si>
  <si>
    <t>Integrated Dual Occupancy &amp; Daylight Sensor for LED Interior Fixtures &gt;= 10,000 Lumens</t>
  </si>
  <si>
    <t>Refrigerator Case Occupancy Sensor</t>
  </si>
  <si>
    <t>Freezer Case Occupancy Sensor</t>
  </si>
  <si>
    <t>Select a Chiller</t>
  </si>
  <si>
    <t>Air cooled</t>
  </si>
  <si>
    <t>Air cooled w/out condenser, elec. operated</t>
  </si>
  <si>
    <t>Water cooled, elec. operated, reciprocating</t>
  </si>
  <si>
    <t>Unitary and Split Air Conditioning</t>
  </si>
  <si>
    <t>Residential Air Source Heat Pump</t>
  </si>
  <si>
    <t>Residential High Efficiency Central Air Conditioning</t>
  </si>
  <si>
    <t>Other (e.g., VRF, heat pump DOAS)</t>
  </si>
  <si>
    <t>Water Conservation</t>
  </si>
  <si>
    <t>Existing gpm</t>
  </si>
  <si>
    <t>Bath Faucet aerator/flow restrictor</t>
  </si>
  <si>
    <t>VFD: Application</t>
  </si>
  <si>
    <t>DCSEU TRM prescriptive savings for VFDs (kWh/hp):</t>
  </si>
  <si>
    <t>Return Fan</t>
  </si>
  <si>
    <t>VFD Motors</t>
  </si>
  <si>
    <t>Hot Water Pump</t>
  </si>
  <si>
    <t>WSHP Circulation Pump</t>
  </si>
  <si>
    <t>New motor installation</t>
  </si>
  <si>
    <t>Insulation measure</t>
  </si>
  <si>
    <t>Pipe Insulation</t>
  </si>
  <si>
    <t>Tank Insulation</t>
  </si>
  <si>
    <t>DCSEU TRM prescriptive savings for smart thermostats:</t>
  </si>
  <si>
    <t>Existing thermostat type</t>
  </si>
  <si>
    <t>ΔkWhTotal</t>
  </si>
  <si>
    <t>ΔMMBtu</t>
  </si>
  <si>
    <t>Select Thermostat</t>
  </si>
  <si>
    <t>GasYes</t>
  </si>
  <si>
    <t>Gas Heat. Cooling</t>
  </si>
  <si>
    <t>ElectricYes</t>
  </si>
  <si>
    <t>Electric Heat, Cooling</t>
  </si>
  <si>
    <t>Programmable</t>
  </si>
  <si>
    <t>GasNo</t>
  </si>
  <si>
    <t>Gas Heat. No Cooling</t>
  </si>
  <si>
    <t>ElectricNo</t>
  </si>
  <si>
    <t>Electric Heat, No Cooling</t>
  </si>
  <si>
    <t>NoneYes</t>
  </si>
  <si>
    <t>No Heat, Cooling</t>
  </si>
  <si>
    <t>Exhaust Fan Calcs</t>
  </si>
  <si>
    <t>=CFM*(1/base-1/eff)/1000*AOH</t>
  </si>
  <si>
    <t>Exhaust Fans</t>
  </si>
  <si>
    <t>Energy Star Most Efficient</t>
  </si>
  <si>
    <t>Energy Star Clothes Washer</t>
  </si>
  <si>
    <t>Savings calculated using DCSEU TRM:</t>
  </si>
  <si>
    <t>Existing Fuel</t>
  </si>
  <si>
    <t>%ElecHeat</t>
  </si>
  <si>
    <t>WHFc</t>
  </si>
  <si>
    <t>WHFhe</t>
  </si>
  <si>
    <t>WHFhf</t>
  </si>
  <si>
    <t>UEFeff</t>
  </si>
  <si>
    <t>Gallons</t>
  </si>
  <si>
    <t>kWhbase</t>
  </si>
  <si>
    <t>Hours</t>
  </si>
  <si>
    <t>HeatingHours</t>
  </si>
  <si>
    <t>COPheat</t>
  </si>
  <si>
    <t>COPcool</t>
  </si>
  <si>
    <t>CoolingHours</t>
  </si>
  <si>
    <t>%Cooled</t>
  </si>
  <si>
    <t>UEFbaseelec</t>
  </si>
  <si>
    <t>FLAGelec</t>
  </si>
  <si>
    <t>kWhcool Savings</t>
  </si>
  <si>
    <t>kWhheat Savings</t>
  </si>
  <si>
    <t>kWh Total Savings</t>
  </si>
  <si>
    <t>MMBtu Savings</t>
  </si>
  <si>
    <t>Savings:</t>
  </si>
  <si>
    <t>Entry 1</t>
  </si>
  <si>
    <t>Entry 2</t>
  </si>
  <si>
    <t>Entry 3</t>
  </si>
  <si>
    <t>Unknown</t>
  </si>
  <si>
    <t>https://trm.veic.org/dcseu/contents/characterizations/1019/low-flow-showerhead</t>
  </si>
  <si>
    <t>Electric savings</t>
  </si>
  <si>
    <t>source</t>
  </si>
  <si>
    <t>TRM</t>
  </si>
  <si>
    <t>input</t>
  </si>
  <si>
    <t xml:space="preserve">TRM </t>
  </si>
  <si>
    <t>variable</t>
  </si>
  <si>
    <t>GPMbase</t>
  </si>
  <si>
    <t>GPMlow</t>
  </si>
  <si>
    <t>Tshower</t>
  </si>
  <si>
    <t>#people</t>
  </si>
  <si>
    <t>#showers</t>
  </si>
  <si>
    <t>usedays/year</t>
  </si>
  <si>
    <t>SH/home</t>
  </si>
  <si>
    <t>lb/gal</t>
  </si>
  <si>
    <t>specific heat</t>
  </si>
  <si>
    <t>temp sh</t>
  </si>
  <si>
    <t>tempin</t>
  </si>
  <si>
    <t>dhwrecoveryefficiency</t>
  </si>
  <si>
    <t>total</t>
  </si>
  <si>
    <t>showerhead</t>
  </si>
  <si>
    <t>kWh</t>
  </si>
  <si>
    <t>TRM (4.5 for kitchen, 1.6 for bathroom)</t>
  </si>
  <si>
    <t>TRM (renters only)</t>
  </si>
  <si>
    <t>TRM (0.5 for kitchen, 0.7 for bathroom)</t>
  </si>
  <si>
    <t>TRM (93 for kitchen, 86 for bathroom)</t>
  </si>
  <si>
    <t>Throttlebase</t>
  </si>
  <si>
    <t>Throttlelow</t>
  </si>
  <si>
    <t>Tperson/day</t>
  </si>
  <si>
    <t>drain percentage</t>
  </si>
  <si>
    <t>tempfaucet</t>
  </si>
  <si>
    <t>kitchen sink</t>
  </si>
  <si>
    <t>bathroom sink</t>
  </si>
  <si>
    <t>Gas savings</t>
  </si>
  <si>
    <t>btu/mmbtu</t>
  </si>
  <si>
    <t>Conversion factor for gas</t>
  </si>
  <si>
    <t>Low flow showerheadGas</t>
  </si>
  <si>
    <t>Bath Faucet aerator/flow restrictorGas</t>
  </si>
  <si>
    <t>bath faucet</t>
  </si>
  <si>
    <t>kitchen faucet</t>
  </si>
  <si>
    <t>Conversion factor for electric</t>
  </si>
  <si>
    <t>Bath Faucet aerator/flow restrictorElectric</t>
  </si>
  <si>
    <t>Kitchen Faucet aerator/flow restrictorElectric</t>
  </si>
  <si>
    <t>Unit Lists</t>
  </si>
  <si>
    <t>Spaces Served List</t>
  </si>
  <si>
    <t>IEER</t>
  </si>
  <si>
    <t>If COP is selected, Convert to EER</t>
  </si>
  <si>
    <t>Entry 4</t>
  </si>
  <si>
    <t>Entry 5</t>
  </si>
  <si>
    <t>Entry 6</t>
  </si>
  <si>
    <t>Vlookup Helper</t>
  </si>
  <si>
    <t>Required Efficiency Metrics for Calcs</t>
  </si>
  <si>
    <t>Commercial Cooling Hours Default</t>
  </si>
  <si>
    <t>Commercial Cooling Hours &gt;135,000 Btu/h</t>
  </si>
  <si>
    <t>Residential Cooling Hours</t>
  </si>
  <si>
    <t>Commercial Electric Heating Hours</t>
  </si>
  <si>
    <t>Commercial Fuel Heating Hours</t>
  </si>
  <si>
    <t>Residential Heating Hours</t>
  </si>
  <si>
    <t>Cooling Savings (kWh)</t>
  </si>
  <si>
    <t>Heating Savings (kWh)</t>
  </si>
  <si>
    <t>Total kWh Savings</t>
  </si>
  <si>
    <t>Heating Savings (MMBtu)</t>
  </si>
  <si>
    <t>SEER or IEER; AFUE or HSPF</t>
  </si>
  <si>
    <t>SEER; AFUE or HSPF</t>
  </si>
  <si>
    <t>Other</t>
  </si>
  <si>
    <t>Lighting Locations</t>
  </si>
  <si>
    <r>
      <t>WHFe</t>
    </r>
    <r>
      <rPr>
        <vertAlign val="subscript"/>
        <sz val="11"/>
        <color theme="1"/>
        <rFont val="Calibri"/>
        <family val="2"/>
        <scheme val="minor"/>
      </rPr>
      <t>Cool</t>
    </r>
  </si>
  <si>
    <r>
      <t>WHFe</t>
    </r>
    <r>
      <rPr>
        <vertAlign val="subscript"/>
        <sz val="11"/>
        <color theme="1"/>
        <rFont val="Calibri"/>
        <family val="2"/>
        <scheme val="minor"/>
      </rPr>
      <t>Heat</t>
    </r>
  </si>
  <si>
    <t>HF</t>
  </si>
  <si>
    <t>Choose Location First</t>
  </si>
  <si>
    <t>In Unit - Task Light/Undercabinet</t>
  </si>
  <si>
    <t>Common Area - Storage</t>
  </si>
  <si>
    <t>Type Hours Here</t>
  </si>
  <si>
    <t>WHFd</t>
  </si>
  <si>
    <t>kw</t>
  </si>
  <si>
    <t>kwh</t>
  </si>
  <si>
    <t>mmbtu</t>
  </si>
  <si>
    <t>Heating Only</t>
  </si>
  <si>
    <t>Cooling Only</t>
  </si>
  <si>
    <t>Rexist</t>
  </si>
  <si>
    <t>Rnew</t>
  </si>
  <si>
    <t>L</t>
  </si>
  <si>
    <t>C</t>
  </si>
  <si>
    <t>Tpipe</t>
  </si>
  <si>
    <t>Tair</t>
  </si>
  <si>
    <t>DeltaT</t>
  </si>
  <si>
    <t>ndhw</t>
  </si>
  <si>
    <t xml:space="preserve">Savings </t>
  </si>
  <si>
    <t>Ubase</t>
  </si>
  <si>
    <t>Abase</t>
  </si>
  <si>
    <t>Uinsul</t>
  </si>
  <si>
    <t>Ainsul</t>
  </si>
  <si>
    <t>Ttank</t>
  </si>
  <si>
    <t>Savings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</si>
</sst>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quot;$&quot;#,##0&quot;/kW&quot;;\(&quot;$&quot;#,##0\)&quot;/kW&quot;"/>
    <numFmt numFmtId="165" formatCode="&quot;$&quot;#,##0&quot;/kWh&quot;;\(&quot;$&quot;#,##0\)&quot;/kWh&quot;"/>
    <numFmt numFmtId="166" formatCode="&quot;$&quot;#,##0&quot;/kW-yr&quot;;\(&quot;$&quot;#,##0\)&quot;/kW-yr&quot;"/>
    <numFmt numFmtId="167" formatCode="&quot;$&quot;#,##0&quot;/MWh&quot;;\(&quot;$&quot;#,##0\)&quot;/MWh&quot;"/>
    <numFmt numFmtId="168" formatCode="&quot;$&quot;#,##0_)&quot;M&quot;;\(&quot;$&quot;#,##0\)&quot;M&quot;"/>
    <numFmt numFmtId="169" formatCode="0.00&quot;¢/kWh&quot;"/>
    <numFmt numFmtId="170" formatCode="_(* #,##0.0_);_(* \(#,##0.0\);_(* &quot;-&quot;??_);_(@_)"/>
    <numFmt numFmtId="171" formatCode="_(* #,##0_);_(* \(#,##0\);_(* &quot;-&quot;??_);_(@_)"/>
    <numFmt numFmtId="172" formatCode="#,##0.0"/>
    <numFmt numFmtId="173" formatCode="0.0"/>
    <numFmt numFmtId="174" formatCode="_(&quot;$&quot;* #,##0_);_(&quot;$&quot;* \(#,##0\);_(&quot;$&quot;* &quot;-&quot;??_);_(@_)"/>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2"/>
      <name val="Times New Roman"/>
      <family val="1"/>
    </font>
    <font>
      <sz val="11"/>
      <color indexed="8"/>
      <name val="Calibri"/>
      <family val="2"/>
    </font>
    <font>
      <b/>
      <sz val="11"/>
      <color theme="1"/>
      <name val="Calibri"/>
      <family val="2"/>
      <scheme val="minor"/>
    </font>
    <font>
      <sz val="11"/>
      <name val="Calibri"/>
      <family val="2"/>
      <scheme val="minor"/>
    </font>
    <font>
      <sz val="11"/>
      <color theme="0" tint="-0.14999847407452621"/>
      <name val="Calibri"/>
      <family val="2"/>
      <scheme val="minor"/>
    </font>
    <font>
      <b/>
      <sz val="16"/>
      <color theme="1"/>
      <name val="Calibri"/>
      <family val="2"/>
      <scheme val="minor"/>
    </font>
    <font>
      <sz val="10"/>
      <color theme="1"/>
      <name val="Calibri"/>
      <family val="2"/>
      <scheme val="minor"/>
    </font>
    <font>
      <b/>
      <sz val="14"/>
      <color theme="1"/>
      <name val="Calibri"/>
      <family val="2"/>
      <scheme val="minor"/>
    </font>
    <font>
      <i/>
      <sz val="11"/>
      <color theme="1"/>
      <name val="Calibri"/>
      <family val="2"/>
      <scheme val="minor"/>
    </font>
    <font>
      <b/>
      <sz val="12"/>
      <color theme="1"/>
      <name val="Calibri"/>
      <family val="2"/>
      <scheme val="minor"/>
    </font>
    <font>
      <sz val="10"/>
      <name val="Arial"/>
      <family val="2"/>
    </font>
    <font>
      <sz val="8"/>
      <name val="Arial"/>
      <family val="2"/>
    </font>
    <font>
      <sz val="24"/>
      <name val="Arial"/>
      <family val="2"/>
    </font>
    <font>
      <sz val="10"/>
      <color rgb="FF0070C0"/>
      <name val="Arial"/>
      <family val="2"/>
    </font>
    <font>
      <u/>
      <sz val="12"/>
      <name val="Arial"/>
      <family val="2"/>
    </font>
    <font>
      <vertAlign val="subscript"/>
      <sz val="11"/>
      <color theme="1"/>
      <name val="Calibri"/>
      <family val="2"/>
      <scheme val="minor"/>
    </font>
    <font>
      <sz val="11"/>
      <color rgb="FF000000"/>
      <name val="Calibri"/>
      <family val="2"/>
    </font>
    <font>
      <i/>
      <sz val="11"/>
      <color rgb="FF000000"/>
      <name val="Calibri"/>
      <family val="2"/>
    </font>
    <font>
      <u/>
      <sz val="10"/>
      <name val="Arial"/>
      <family val="2"/>
    </font>
    <font>
      <sz val="10"/>
      <color rgb="FF363636"/>
      <name val="Arial"/>
      <family val="2"/>
    </font>
    <font>
      <u/>
      <sz val="10"/>
      <color theme="10"/>
      <name val="Arial"/>
      <family val="2"/>
    </font>
    <font>
      <b/>
      <sz val="14"/>
      <name val="Arial"/>
      <family val="2"/>
    </font>
    <font>
      <b/>
      <u/>
      <sz val="11"/>
      <color theme="1"/>
      <name val="Calibri"/>
      <family val="2"/>
      <scheme val="minor"/>
    </font>
    <font>
      <b/>
      <sz val="11"/>
      <color rgb="FF000000"/>
      <name val="Calibri"/>
      <family val="2"/>
    </font>
    <font>
      <sz val="8"/>
      <color theme="1"/>
      <name val="Calibri"/>
      <family val="2"/>
      <scheme val="minor"/>
    </font>
    <font>
      <sz val="11"/>
      <color rgb="FFFF0000"/>
      <name val="Calibri"/>
      <family val="2"/>
      <scheme val="minor"/>
    </font>
    <font>
      <b/>
      <sz val="11"/>
      <color theme="6" tint="0.59999389629810485"/>
      <name val="Calibri"/>
      <family val="2"/>
      <scheme val="minor"/>
    </font>
    <font>
      <sz val="11"/>
      <color theme="6" tint="0.59999389629810485"/>
      <name val="Calibri"/>
      <family val="2"/>
      <scheme val="minor"/>
    </font>
    <font>
      <sz val="8"/>
      <name val="Calibri"/>
      <family val="2"/>
      <scheme val="minor"/>
    </font>
    <font>
      <sz val="8"/>
      <name val="Arial"/>
    </font>
    <font>
      <b/>
      <u/>
      <sz val="14"/>
      <color theme="1"/>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9"/>
        <bgColor indexed="64"/>
      </patternFill>
    </fill>
    <fill>
      <patternFill patternType="solid">
        <fgColor rgb="FFFFC00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FF"/>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style="double">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D3D3D3"/>
      </left>
      <right style="medium">
        <color rgb="FFD3D3D3"/>
      </right>
      <top style="medium">
        <color rgb="FFD3D3D3"/>
      </top>
      <bottom style="medium">
        <color rgb="FFD3D3D3"/>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28">
    <xf numFmtId="0" fontId="0" fillId="0" borderId="0"/>
    <xf numFmtId="164" fontId="7" fillId="0" borderId="0">
      <alignment horizontal="right" wrapText="1"/>
    </xf>
    <xf numFmtId="165" fontId="7" fillId="0" borderId="0">
      <alignment horizontal="right" wrapText="1"/>
    </xf>
    <xf numFmtId="166" fontId="7" fillId="0" borderId="0">
      <alignment horizontal="right" wrapText="1"/>
    </xf>
    <xf numFmtId="167" fontId="7" fillId="0" borderId="0">
      <alignment horizontal="right" wrapText="1"/>
    </xf>
    <xf numFmtId="168" fontId="7" fillId="0" borderId="0">
      <alignment horizontal="right" wrapText="1"/>
    </xf>
    <xf numFmtId="169" fontId="7" fillId="0" borderId="0"/>
    <xf numFmtId="43" fontId="7" fillId="0" borderId="0" applyFont="0" applyFill="0" applyBorder="0" applyAlignment="0" applyProtection="0"/>
    <xf numFmtId="43" fontId="7" fillId="0" borderId="0" applyFont="0" applyFill="0" applyBorder="0" applyAlignment="0" applyProtection="0"/>
    <xf numFmtId="43" fontId="8" fillId="0" borderId="0" applyFont="0" applyFill="0" applyBorder="0" applyAlignment="0" applyProtection="0"/>
    <xf numFmtId="44" fontId="7" fillId="0" borderId="0" applyFont="0" applyFill="0" applyBorder="0" applyAlignment="0" applyProtection="0"/>
    <xf numFmtId="44" fontId="9" fillId="0" borderId="0" applyFont="0" applyFill="0" applyBorder="0" applyAlignment="0" applyProtection="0"/>
    <xf numFmtId="0" fontId="7" fillId="0" borderId="0"/>
    <xf numFmtId="0" fontId="8" fillId="0" borderId="0"/>
    <xf numFmtId="9" fontId="7" fillId="0" borderId="0" applyFont="0" applyFill="0" applyBorder="0" applyAlignment="0" applyProtection="0"/>
    <xf numFmtId="9" fontId="8" fillId="0" borderId="0" applyFont="0" applyFill="0" applyBorder="0" applyAlignment="0" applyProtection="0"/>
    <xf numFmtId="0" fontId="7" fillId="0" borderId="0">
      <alignment horizontal="left" wrapText="1"/>
    </xf>
    <xf numFmtId="0" fontId="5" fillId="0" borderId="0"/>
    <xf numFmtId="0" fontId="4" fillId="0" borderId="0"/>
    <xf numFmtId="0" fontId="3" fillId="0" borderId="0"/>
    <xf numFmtId="44" fontId="3"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0" fontId="28" fillId="0" borderId="0" applyNumberForma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cellStyleXfs>
  <cellXfs count="362">
    <xf numFmtId="0" fontId="0" fillId="0" borderId="0" xfId="0"/>
    <xf numFmtId="0" fontId="5" fillId="0" borderId="0" xfId="17"/>
    <xf numFmtId="0" fontId="3" fillId="0" borderId="0" xfId="19"/>
    <xf numFmtId="3" fontId="3" fillId="0" borderId="0" xfId="19" applyNumberFormat="1"/>
    <xf numFmtId="44" fontId="0" fillId="6" borderId="11" xfId="20" applyFont="1" applyFill="1" applyBorder="1" applyAlignment="1" applyProtection="1">
      <alignment vertical="center"/>
      <protection locked="0"/>
    </xf>
    <xf numFmtId="0" fontId="3" fillId="0" borderId="5" xfId="19" applyBorder="1" applyProtection="1">
      <protection locked="0"/>
    </xf>
    <xf numFmtId="0" fontId="3" fillId="0" borderId="0" xfId="19" applyProtection="1">
      <protection locked="0"/>
    </xf>
    <xf numFmtId="0" fontId="3" fillId="0" borderId="6" xfId="19" applyBorder="1" applyProtection="1">
      <protection locked="0"/>
    </xf>
    <xf numFmtId="0" fontId="3" fillId="0" borderId="7" xfId="19" applyBorder="1" applyProtection="1">
      <protection locked="0"/>
    </xf>
    <xf numFmtId="0" fontId="3" fillId="0" borderId="8" xfId="19" applyBorder="1" applyProtection="1">
      <protection locked="0"/>
    </xf>
    <xf numFmtId="0" fontId="3" fillId="0" borderId="9" xfId="19" applyBorder="1" applyProtection="1">
      <protection locked="0"/>
    </xf>
    <xf numFmtId="0" fontId="20" fillId="0" borderId="0" xfId="0" applyFont="1"/>
    <xf numFmtId="0" fontId="21" fillId="0" borderId="0" xfId="0" applyFont="1"/>
    <xf numFmtId="0" fontId="22" fillId="0" borderId="0" xfId="0" applyFont="1"/>
    <xf numFmtId="0" fontId="7" fillId="0" borderId="0" xfId="0" applyFont="1"/>
    <xf numFmtId="0" fontId="3" fillId="0" borderId="24" xfId="19" applyBorder="1"/>
    <xf numFmtId="0" fontId="11" fillId="0" borderId="1" xfId="19" applyFont="1" applyBorder="1" applyProtection="1">
      <protection locked="0"/>
    </xf>
    <xf numFmtId="0" fontId="5" fillId="3" borderId="0" xfId="17" applyFill="1" applyAlignment="1">
      <alignment horizontal="center"/>
    </xf>
    <xf numFmtId="0" fontId="24" fillId="8" borderId="0" xfId="0" applyFont="1" applyFill="1" applyAlignment="1">
      <alignment wrapText="1"/>
    </xf>
    <xf numFmtId="0" fontId="0" fillId="0" borderId="1" xfId="0" applyBorder="1"/>
    <xf numFmtId="0" fontId="0" fillId="0" borderId="34" xfId="0" applyBorder="1"/>
    <xf numFmtId="0" fontId="3" fillId="9" borderId="0" xfId="19" applyFill="1"/>
    <xf numFmtId="0" fontId="3" fillId="0" borderId="8" xfId="19" applyBorder="1" applyAlignment="1" applyProtection="1">
      <alignment horizontal="right"/>
      <protection locked="0"/>
    </xf>
    <xf numFmtId="0" fontId="10" fillId="11" borderId="22" xfId="19" applyFont="1" applyFill="1" applyBorder="1" applyProtection="1">
      <protection locked="0"/>
    </xf>
    <xf numFmtId="0" fontId="10" fillId="11" borderId="29" xfId="19" applyFont="1" applyFill="1" applyBorder="1" applyProtection="1">
      <protection locked="0"/>
    </xf>
    <xf numFmtId="0" fontId="10" fillId="11" borderId="30" xfId="19" applyFont="1" applyFill="1" applyBorder="1" applyProtection="1">
      <protection locked="0"/>
    </xf>
    <xf numFmtId="0" fontId="3" fillId="11" borderId="0" xfId="19" applyFill="1" applyProtection="1">
      <protection locked="0"/>
    </xf>
    <xf numFmtId="0" fontId="3" fillId="11" borderId="8" xfId="19" applyFill="1" applyBorder="1" applyProtection="1">
      <protection locked="0"/>
    </xf>
    <xf numFmtId="0" fontId="3" fillId="11" borderId="6" xfId="19" applyFill="1" applyBorder="1" applyProtection="1">
      <protection locked="0"/>
    </xf>
    <xf numFmtId="0" fontId="3" fillId="11" borderId="9" xfId="19" applyFill="1" applyBorder="1" applyProtection="1">
      <protection locked="0"/>
    </xf>
    <xf numFmtId="0" fontId="3" fillId="11" borderId="5" xfId="19" applyFill="1" applyBorder="1" applyProtection="1">
      <protection locked="0"/>
    </xf>
    <xf numFmtId="0" fontId="3" fillId="11" borderId="7" xfId="19" applyFill="1" applyBorder="1" applyProtection="1">
      <protection locked="0"/>
    </xf>
    <xf numFmtId="0" fontId="11" fillId="0" borderId="1" xfId="0" applyFont="1" applyBorder="1"/>
    <xf numFmtId="0" fontId="3" fillId="11" borderId="1" xfId="19" applyFill="1" applyBorder="1"/>
    <xf numFmtId="0" fontId="7" fillId="13" borderId="1" xfId="0" applyFont="1" applyFill="1" applyBorder="1"/>
    <xf numFmtId="0" fontId="7" fillId="12" borderId="1" xfId="0" applyFont="1" applyFill="1" applyBorder="1"/>
    <xf numFmtId="0" fontId="3" fillId="13" borderId="0" xfId="19" applyFill="1" applyProtection="1">
      <protection locked="0"/>
    </xf>
    <xf numFmtId="0" fontId="3" fillId="13" borderId="8" xfId="19" applyFill="1" applyBorder="1" applyProtection="1">
      <protection locked="0"/>
    </xf>
    <xf numFmtId="44" fontId="0" fillId="12" borderId="11" xfId="20" applyFont="1" applyFill="1" applyBorder="1" applyAlignment="1" applyProtection="1">
      <alignment vertical="center"/>
    </xf>
    <xf numFmtId="0" fontId="3" fillId="0" borderId="31" xfId="19" applyBorder="1"/>
    <xf numFmtId="0" fontId="3" fillId="0" borderId="32" xfId="19" applyBorder="1"/>
    <xf numFmtId="0" fontId="26" fillId="0" borderId="0" xfId="0" applyFont="1" applyAlignment="1">
      <alignment wrapText="1"/>
    </xf>
    <xf numFmtId="0" fontId="0" fillId="0" borderId="0" xfId="0" applyAlignment="1">
      <alignment wrapText="1"/>
    </xf>
    <xf numFmtId="0" fontId="3" fillId="0" borderId="0" xfId="19" applyAlignment="1">
      <alignment wrapText="1"/>
    </xf>
    <xf numFmtId="0" fontId="6" fillId="0" borderId="0" xfId="0" applyFont="1" applyAlignment="1">
      <alignment wrapText="1"/>
    </xf>
    <xf numFmtId="0" fontId="7" fillId="0" borderId="0" xfId="0" applyFont="1" applyAlignment="1">
      <alignment wrapText="1"/>
    </xf>
    <xf numFmtId="0" fontId="0" fillId="7" borderId="0" xfId="0" applyFill="1" applyAlignment="1">
      <alignment wrapText="1"/>
    </xf>
    <xf numFmtId="0" fontId="0" fillId="14" borderId="0" xfId="0" applyFill="1" applyAlignment="1">
      <alignment wrapText="1"/>
    </xf>
    <xf numFmtId="0" fontId="0" fillId="15" borderId="0" xfId="0" applyFill="1" applyAlignment="1">
      <alignment wrapText="1"/>
    </xf>
    <xf numFmtId="0" fontId="7" fillId="7" borderId="0" xfId="0" applyFont="1" applyFill="1" applyAlignment="1">
      <alignment wrapText="1"/>
    </xf>
    <xf numFmtId="0" fontId="7" fillId="14" borderId="0" xfId="0" applyFont="1" applyFill="1" applyAlignment="1">
      <alignment wrapText="1"/>
    </xf>
    <xf numFmtId="0" fontId="7" fillId="15" borderId="0" xfId="0" applyFont="1" applyFill="1" applyAlignment="1">
      <alignment wrapText="1"/>
    </xf>
    <xf numFmtId="171" fontId="0" fillId="0" borderId="0" xfId="7" applyNumberFormat="1" applyFont="1" applyFill="1" applyAlignment="1">
      <alignment wrapText="1"/>
    </xf>
    <xf numFmtId="171" fontId="0" fillId="0" borderId="0" xfId="0" applyNumberFormat="1" applyAlignment="1">
      <alignment wrapText="1"/>
    </xf>
    <xf numFmtId="173" fontId="0" fillId="0" borderId="0" xfId="0" applyNumberFormat="1" applyAlignment="1">
      <alignment wrapText="1"/>
    </xf>
    <xf numFmtId="3" fontId="0" fillId="0" borderId="0" xfId="0" applyNumberFormat="1" applyAlignment="1">
      <alignment wrapText="1"/>
    </xf>
    <xf numFmtId="0" fontId="27" fillId="0" borderId="0" xfId="0" applyFont="1"/>
    <xf numFmtId="172" fontId="0" fillId="0" borderId="0" xfId="0" applyNumberFormat="1" applyAlignment="1">
      <alignment wrapText="1"/>
    </xf>
    <xf numFmtId="0" fontId="3" fillId="0" borderId="3" xfId="19" applyBorder="1" applyProtection="1">
      <protection locked="0"/>
    </xf>
    <xf numFmtId="0" fontId="28" fillId="0" borderId="0" xfId="23"/>
    <xf numFmtId="0" fontId="0" fillId="0" borderId="8" xfId="0" applyBorder="1" applyAlignment="1">
      <alignment wrapText="1"/>
    </xf>
    <xf numFmtId="0" fontId="0" fillId="2" borderId="8" xfId="0" applyFill="1" applyBorder="1" applyAlignment="1">
      <alignment wrapText="1"/>
    </xf>
    <xf numFmtId="2" fontId="10" fillId="5" borderId="10" xfId="0" applyNumberFormat="1" applyFont="1" applyFill="1" applyBorder="1"/>
    <xf numFmtId="0" fontId="10" fillId="5" borderId="11" xfId="0" applyFont="1" applyFill="1" applyBorder="1"/>
    <xf numFmtId="0" fontId="0" fillId="0" borderId="3" xfId="0" applyBorder="1"/>
    <xf numFmtId="0" fontId="0" fillId="0" borderId="3" xfId="0" applyBorder="1" applyAlignment="1">
      <alignment wrapText="1"/>
    </xf>
    <xf numFmtId="0" fontId="0" fillId="0" borderId="4" xfId="0" applyBorder="1"/>
    <xf numFmtId="0" fontId="0" fillId="0" borderId="5" xfId="0" applyBorder="1" applyAlignment="1">
      <alignment wrapText="1"/>
    </xf>
    <xf numFmtId="0" fontId="0" fillId="2" borderId="0" xfId="0" applyFill="1" applyAlignment="1">
      <alignment wrapText="1"/>
    </xf>
    <xf numFmtId="0" fontId="0" fillId="0" borderId="6" xfId="0" applyBorder="1" applyAlignment="1">
      <alignment wrapText="1"/>
    </xf>
    <xf numFmtId="0" fontId="0" fillId="0" borderId="7" xfId="0" applyBorder="1" applyAlignment="1">
      <alignment wrapText="1"/>
    </xf>
    <xf numFmtId="0" fontId="0" fillId="0" borderId="5" xfId="0" applyBorder="1"/>
    <xf numFmtId="0" fontId="0" fillId="2" borderId="0" xfId="0" applyFill="1"/>
    <xf numFmtId="2" fontId="10" fillId="5" borderId="35" xfId="0" applyNumberFormat="1" applyFont="1" applyFill="1" applyBorder="1"/>
    <xf numFmtId="0" fontId="0" fillId="0" borderId="7" xfId="0" applyBorder="1"/>
    <xf numFmtId="0" fontId="0" fillId="0" borderId="8" xfId="0" applyBorder="1"/>
    <xf numFmtId="0" fontId="0" fillId="2" borderId="8" xfId="0" applyFill="1" applyBorder="1"/>
    <xf numFmtId="0" fontId="29" fillId="0" borderId="2" xfId="0" applyFont="1" applyBorder="1"/>
    <xf numFmtId="0" fontId="0" fillId="0" borderId="6" xfId="0" applyBorder="1"/>
    <xf numFmtId="0" fontId="27" fillId="16" borderId="40" xfId="0" applyFont="1" applyFill="1" applyBorder="1" applyAlignment="1">
      <alignment horizontal="center" vertical="center" wrapText="1"/>
    </xf>
    <xf numFmtId="0" fontId="0" fillId="0" borderId="0" xfId="7" applyNumberFormat="1" applyFont="1"/>
    <xf numFmtId="0" fontId="30" fillId="0" borderId="0" xfId="19" applyFont="1"/>
    <xf numFmtId="0" fontId="0" fillId="0" borderId="2" xfId="0" applyBorder="1"/>
    <xf numFmtId="2" fontId="0" fillId="0" borderId="6" xfId="0" applyNumberFormat="1" applyBorder="1"/>
    <xf numFmtId="0" fontId="0" fillId="0" borderId="9" xfId="0" applyBorder="1"/>
    <xf numFmtId="0" fontId="0" fillId="9" borderId="3" xfId="0" applyFill="1" applyBorder="1"/>
    <xf numFmtId="0" fontId="0" fillId="9" borderId="4" xfId="0" applyFill="1" applyBorder="1"/>
    <xf numFmtId="0" fontId="0" fillId="9" borderId="3" xfId="0" quotePrefix="1" applyFill="1" applyBorder="1"/>
    <xf numFmtId="0" fontId="31" fillId="0" borderId="0" xfId="0" applyFont="1"/>
    <xf numFmtId="0" fontId="24" fillId="0" borderId="0" xfId="0" applyFont="1"/>
    <xf numFmtId="9" fontId="24" fillId="0" borderId="0" xfId="0" applyNumberFormat="1" applyFont="1"/>
    <xf numFmtId="3" fontId="24" fillId="0" borderId="0" xfId="0" applyNumberFormat="1" applyFont="1"/>
    <xf numFmtId="0" fontId="24" fillId="0" borderId="0" xfId="0" applyFont="1" applyAlignment="1">
      <alignment horizontal="right"/>
    </xf>
    <xf numFmtId="0" fontId="24" fillId="0" borderId="0" xfId="0" applyFont="1" applyAlignment="1">
      <alignment wrapText="1"/>
    </xf>
    <xf numFmtId="0" fontId="27" fillId="16" borderId="41" xfId="0" applyFont="1" applyFill="1" applyBorder="1" applyAlignment="1">
      <alignment horizontal="left" vertical="top" wrapText="1"/>
    </xf>
    <xf numFmtId="9" fontId="0" fillId="0" borderId="0" xfId="0" applyNumberFormat="1"/>
    <xf numFmtId="0" fontId="27" fillId="16" borderId="0" xfId="0" applyFont="1" applyFill="1" applyAlignment="1">
      <alignment horizontal="left" vertical="top" wrapText="1"/>
    </xf>
    <xf numFmtId="171" fontId="0" fillId="0" borderId="0" xfId="7" applyNumberFormat="1" applyFont="1"/>
    <xf numFmtId="0" fontId="31" fillId="0" borderId="0" xfId="0" applyFont="1" applyAlignment="1">
      <alignment wrapText="1"/>
    </xf>
    <xf numFmtId="171" fontId="15" fillId="12" borderId="7" xfId="7" applyNumberFormat="1" applyFont="1" applyFill="1" applyBorder="1" applyAlignment="1" applyProtection="1">
      <alignment wrapText="1"/>
    </xf>
    <xf numFmtId="171" fontId="15" fillId="12" borderId="8" xfId="7" applyNumberFormat="1" applyFont="1" applyFill="1" applyBorder="1" applyAlignment="1" applyProtection="1">
      <alignment wrapText="1"/>
    </xf>
    <xf numFmtId="171" fontId="15" fillId="12" borderId="9" xfId="7" applyNumberFormat="1" applyFont="1" applyFill="1" applyBorder="1" applyAlignment="1" applyProtection="1">
      <alignment wrapText="1"/>
    </xf>
    <xf numFmtId="171" fontId="15" fillId="12" borderId="7" xfId="7" applyNumberFormat="1" applyFont="1" applyFill="1" applyBorder="1" applyProtection="1"/>
    <xf numFmtId="2" fontId="3" fillId="0" borderId="0" xfId="19" applyNumberFormat="1"/>
    <xf numFmtId="2" fontId="0" fillId="0" borderId="0" xfId="0" applyNumberFormat="1"/>
    <xf numFmtId="43" fontId="0" fillId="0" borderId="0" xfId="7" applyFont="1"/>
    <xf numFmtId="171" fontId="0" fillId="0" borderId="0" xfId="7" applyNumberFormat="1" applyFont="1" applyAlignment="1">
      <alignment horizontal="left"/>
    </xf>
    <xf numFmtId="0" fontId="5" fillId="3" borderId="39" xfId="17" applyFill="1" applyBorder="1" applyAlignment="1">
      <alignment horizontal="center"/>
    </xf>
    <xf numFmtId="0" fontId="3" fillId="0" borderId="31" xfId="19" quotePrefix="1" applyBorder="1"/>
    <xf numFmtId="0" fontId="11" fillId="11" borderId="8" xfId="19" applyFont="1" applyFill="1" applyBorder="1" applyProtection="1">
      <protection locked="0"/>
    </xf>
    <xf numFmtId="3" fontId="3" fillId="0" borderId="0" xfId="19" applyNumberFormat="1" applyProtection="1">
      <protection locked="0"/>
    </xf>
    <xf numFmtId="0" fontId="3" fillId="0" borderId="0" xfId="19" applyAlignment="1" applyProtection="1">
      <alignment horizontal="right"/>
      <protection locked="0"/>
    </xf>
    <xf numFmtId="0" fontId="10" fillId="11" borderId="27" xfId="19" applyFont="1" applyFill="1" applyBorder="1" applyProtection="1">
      <protection locked="0"/>
    </xf>
    <xf numFmtId="0" fontId="10" fillId="11" borderId="43" xfId="19" applyFont="1" applyFill="1" applyBorder="1" applyProtection="1">
      <protection locked="0"/>
    </xf>
    <xf numFmtId="0" fontId="10" fillId="11" borderId="44" xfId="19" applyFont="1" applyFill="1" applyBorder="1" applyProtection="1">
      <protection locked="0"/>
    </xf>
    <xf numFmtId="0" fontId="3" fillId="7" borderId="0" xfId="19" applyFill="1"/>
    <xf numFmtId="0" fontId="10" fillId="7" borderId="0" xfId="19" applyFont="1" applyFill="1"/>
    <xf numFmtId="0" fontId="10" fillId="12" borderId="2" xfId="19" applyFont="1" applyFill="1" applyBorder="1" applyAlignment="1">
      <alignment wrapText="1"/>
    </xf>
    <xf numFmtId="0" fontId="34" fillId="12" borderId="3" xfId="19" applyFont="1" applyFill="1" applyBorder="1" applyAlignment="1">
      <alignment wrapText="1"/>
    </xf>
    <xf numFmtId="0" fontId="10" fillId="12" borderId="4" xfId="19" applyFont="1" applyFill="1" applyBorder="1" applyAlignment="1">
      <alignment wrapText="1"/>
    </xf>
    <xf numFmtId="170" fontId="35" fillId="12" borderId="0" xfId="7" applyNumberFormat="1" applyFont="1" applyFill="1" applyProtection="1"/>
    <xf numFmtId="43" fontId="3" fillId="7" borderId="0" xfId="19" applyNumberFormat="1" applyFill="1"/>
    <xf numFmtId="2" fontId="10" fillId="12" borderId="5" xfId="26" applyNumberFormat="1" applyFont="1" applyFill="1" applyBorder="1" applyAlignment="1">
      <alignment horizontal="center" vertical="center"/>
    </xf>
    <xf numFmtId="171" fontId="17" fillId="12" borderId="10" xfId="7" applyNumberFormat="1" applyFont="1" applyFill="1" applyBorder="1" applyProtection="1"/>
    <xf numFmtId="171" fontId="17" fillId="12" borderId="20" xfId="7" applyNumberFormat="1" applyFont="1" applyFill="1" applyBorder="1" applyProtection="1"/>
    <xf numFmtId="171" fontId="17" fillId="12" borderId="11" xfId="7" applyNumberFormat="1" applyFont="1" applyFill="1" applyBorder="1" applyProtection="1"/>
    <xf numFmtId="0" fontId="10" fillId="12" borderId="3" xfId="19" applyFont="1" applyFill="1" applyBorder="1" applyAlignment="1">
      <alignment wrapText="1"/>
    </xf>
    <xf numFmtId="2" fontId="10" fillId="12" borderId="5" xfId="19" applyNumberFormat="1" applyFont="1" applyFill="1" applyBorder="1" applyAlignment="1">
      <alignment horizontal="center"/>
    </xf>
    <xf numFmtId="2" fontId="3" fillId="12" borderId="6" xfId="19" applyNumberFormat="1" applyFill="1" applyBorder="1"/>
    <xf numFmtId="0" fontId="3" fillId="12" borderId="5" xfId="19" applyFill="1" applyBorder="1"/>
    <xf numFmtId="0" fontId="3" fillId="12" borderId="0" xfId="19" applyFill="1"/>
    <xf numFmtId="0" fontId="3" fillId="12" borderId="6" xfId="19" applyFill="1" applyBorder="1"/>
    <xf numFmtId="2" fontId="3" fillId="12" borderId="0" xfId="19" applyNumberFormat="1" applyFill="1"/>
    <xf numFmtId="1" fontId="3" fillId="12" borderId="5" xfId="19" applyNumberFormat="1" applyFill="1" applyBorder="1"/>
    <xf numFmtId="170" fontId="17" fillId="12" borderId="11" xfId="7" applyNumberFormat="1" applyFont="1" applyFill="1" applyBorder="1" applyProtection="1"/>
    <xf numFmtId="171" fontId="15" fillId="12" borderId="8" xfId="7" applyNumberFormat="1" applyFont="1" applyFill="1" applyBorder="1" applyProtection="1"/>
    <xf numFmtId="171" fontId="15" fillId="12" borderId="9" xfId="7" applyNumberFormat="1" applyFont="1" applyFill="1" applyBorder="1" applyProtection="1"/>
    <xf numFmtId="0" fontId="3" fillId="7" borderId="5" xfId="19" applyFill="1" applyBorder="1"/>
    <xf numFmtId="0" fontId="3" fillId="7" borderId="6" xfId="19" applyFill="1" applyBorder="1"/>
    <xf numFmtId="0" fontId="3" fillId="5" borderId="0" xfId="19" applyFill="1"/>
    <xf numFmtId="0" fontId="33" fillId="5" borderId="0" xfId="19" applyFont="1" applyFill="1" applyAlignment="1">
      <alignment horizontal="right" vertical="center"/>
    </xf>
    <xf numFmtId="0" fontId="12" fillId="5" borderId="0" xfId="19" applyFont="1" applyFill="1" applyAlignment="1">
      <alignment horizontal="center" wrapText="1"/>
    </xf>
    <xf numFmtId="0" fontId="32" fillId="5" borderId="0" xfId="19" applyFont="1" applyFill="1" applyAlignment="1">
      <alignment wrapText="1"/>
    </xf>
    <xf numFmtId="44" fontId="12" fillId="5" borderId="0" xfId="19" applyNumberFormat="1" applyFont="1" applyFill="1"/>
    <xf numFmtId="0" fontId="11" fillId="5" borderId="0" xfId="19" applyFont="1" applyFill="1"/>
    <xf numFmtId="0" fontId="10" fillId="5" borderId="42" xfId="19" applyFont="1" applyFill="1" applyBorder="1" applyAlignment="1">
      <alignment vertical="top"/>
    </xf>
    <xf numFmtId="0" fontId="10" fillId="5" borderId="35" xfId="19" applyFont="1" applyFill="1" applyBorder="1" applyAlignment="1">
      <alignment vertical="top" wrapText="1"/>
    </xf>
    <xf numFmtId="0" fontId="10" fillId="5" borderId="0" xfId="19" applyFont="1" applyFill="1" applyAlignment="1">
      <alignment vertical="top" wrapText="1"/>
    </xf>
    <xf numFmtId="0" fontId="13" fillId="5" borderId="0" xfId="19" applyFont="1" applyFill="1"/>
    <xf numFmtId="0" fontId="3" fillId="0" borderId="12" xfId="19" applyBorder="1" applyAlignment="1">
      <alignment horizontal="center" vertical="center" wrapText="1"/>
    </xf>
    <xf numFmtId="0" fontId="3" fillId="0" borderId="13" xfId="19" applyBorder="1" applyAlignment="1">
      <alignment horizontal="center" vertical="center" wrapText="1"/>
    </xf>
    <xf numFmtId="0" fontId="11" fillId="0" borderId="28" xfId="19" applyFont="1" applyBorder="1" applyAlignment="1">
      <alignment horizontal="center" vertical="center" wrapText="1"/>
    </xf>
    <xf numFmtId="0" fontId="10" fillId="5" borderId="0" xfId="19" applyFont="1" applyFill="1"/>
    <xf numFmtId="0" fontId="36" fillId="5" borderId="16" xfId="19" applyFont="1" applyFill="1" applyBorder="1" applyAlignment="1">
      <alignment wrapText="1"/>
    </xf>
    <xf numFmtId="0" fontId="3" fillId="5" borderId="17" xfId="19" applyFill="1" applyBorder="1"/>
    <xf numFmtId="0" fontId="3" fillId="5" borderId="18" xfId="19" applyFill="1" applyBorder="1"/>
    <xf numFmtId="0" fontId="12" fillId="5" borderId="33" xfId="19" applyFont="1" applyFill="1" applyBorder="1"/>
    <xf numFmtId="0" fontId="3" fillId="5" borderId="16" xfId="19" applyFill="1" applyBorder="1"/>
    <xf numFmtId="0" fontId="3" fillId="13" borderId="0" xfId="19" applyFill="1"/>
    <xf numFmtId="44" fontId="12" fillId="5" borderId="5" xfId="19" applyNumberFormat="1" applyFont="1" applyFill="1" applyBorder="1"/>
    <xf numFmtId="0" fontId="3" fillId="13" borderId="2" xfId="19" applyFill="1" applyBorder="1"/>
    <xf numFmtId="44" fontId="11" fillId="0" borderId="4" xfId="21" applyFont="1" applyFill="1" applyBorder="1" applyProtection="1"/>
    <xf numFmtId="0" fontId="12" fillId="5" borderId="5" xfId="19" applyFont="1" applyFill="1" applyBorder="1"/>
    <xf numFmtId="0" fontId="3" fillId="13" borderId="5" xfId="19" applyFill="1" applyBorder="1"/>
    <xf numFmtId="44" fontId="11" fillId="0" borderId="6" xfId="21" applyFont="1" applyFill="1" applyBorder="1" applyProtection="1"/>
    <xf numFmtId="0" fontId="3" fillId="13" borderId="8" xfId="19" applyFill="1" applyBorder="1"/>
    <xf numFmtId="0" fontId="12" fillId="5" borderId="7" xfId="19" applyFont="1" applyFill="1" applyBorder="1"/>
    <xf numFmtId="44" fontId="11" fillId="0" borderId="9" xfId="21" applyFont="1" applyFill="1" applyBorder="1" applyProtection="1"/>
    <xf numFmtId="0" fontId="12" fillId="5" borderId="0" xfId="19" applyFont="1" applyFill="1"/>
    <xf numFmtId="0" fontId="32" fillId="5" borderId="0" xfId="19" applyFont="1" applyFill="1" applyAlignment="1">
      <alignment horizontal="center" wrapText="1"/>
    </xf>
    <xf numFmtId="0" fontId="14" fillId="0" borderId="13" xfId="19" applyFont="1" applyBorder="1" applyAlignment="1">
      <alignment horizontal="center" vertical="center" wrapText="1"/>
    </xf>
    <xf numFmtId="0" fontId="12" fillId="5" borderId="22" xfId="19" applyFont="1" applyFill="1" applyBorder="1" applyAlignment="1">
      <alignment horizontal="center" vertical="center" wrapText="1"/>
    </xf>
    <xf numFmtId="0" fontId="3" fillId="0" borderId="6" xfId="19" applyBorder="1"/>
    <xf numFmtId="0" fontId="12" fillId="5" borderId="31" xfId="19" applyFont="1" applyFill="1" applyBorder="1"/>
    <xf numFmtId="0" fontId="12" fillId="5" borderId="32" xfId="19" applyFont="1" applyFill="1" applyBorder="1"/>
    <xf numFmtId="0" fontId="3" fillId="0" borderId="15" xfId="19" applyBorder="1" applyAlignment="1">
      <alignment horizontal="center" vertical="center" wrapText="1"/>
    </xf>
    <xf numFmtId="0" fontId="11" fillId="0" borderId="15" xfId="19" applyFont="1" applyBorder="1" applyAlignment="1">
      <alignment horizontal="center" vertical="center" wrapText="1"/>
    </xf>
    <xf numFmtId="44" fontId="11" fillId="0" borderId="9" xfId="21" applyFont="1" applyBorder="1" applyProtection="1"/>
    <xf numFmtId="0" fontId="10" fillId="2" borderId="0" xfId="19" applyFont="1" applyFill="1"/>
    <xf numFmtId="0" fontId="12" fillId="5" borderId="36" xfId="19" applyFont="1" applyFill="1" applyBorder="1" applyAlignment="1">
      <alignment horizontal="center" vertical="center" wrapText="1"/>
    </xf>
    <xf numFmtId="0" fontId="12" fillId="5" borderId="8" xfId="19" applyFont="1" applyFill="1" applyBorder="1"/>
    <xf numFmtId="0" fontId="3" fillId="0" borderId="12" xfId="19" applyBorder="1" applyAlignment="1">
      <alignment horizontal="center" wrapText="1"/>
    </xf>
    <xf numFmtId="44" fontId="11" fillId="0" borderId="15" xfId="21" applyFont="1" applyFill="1" applyBorder="1" applyAlignment="1" applyProtection="1">
      <alignment horizontal="center" vertical="center" wrapText="1"/>
    </xf>
    <xf numFmtId="0" fontId="10" fillId="11" borderId="27" xfId="19" applyFont="1" applyFill="1" applyBorder="1"/>
    <xf numFmtId="0" fontId="10" fillId="11" borderId="44" xfId="19" applyFont="1" applyFill="1" applyBorder="1"/>
    <xf numFmtId="0" fontId="15" fillId="5" borderId="0" xfId="19" applyFont="1" applyFill="1"/>
    <xf numFmtId="44" fontId="11" fillId="0" borderId="6" xfId="21" applyFont="1" applyBorder="1" applyProtection="1"/>
    <xf numFmtId="0" fontId="3" fillId="0" borderId="13" xfId="19" applyBorder="1" applyAlignment="1">
      <alignment horizontal="center" vertical="center"/>
    </xf>
    <xf numFmtId="0" fontId="3" fillId="0" borderId="15" xfId="19" applyBorder="1" applyAlignment="1">
      <alignment horizontal="center" vertical="center"/>
    </xf>
    <xf numFmtId="0" fontId="16" fillId="5" borderId="0" xfId="19" applyFont="1" applyFill="1"/>
    <xf numFmtId="0" fontId="3" fillId="0" borderId="13" xfId="19" applyBorder="1" applyAlignment="1" applyProtection="1">
      <alignment horizontal="center" vertical="center" wrapText="1"/>
      <protection locked="0"/>
    </xf>
    <xf numFmtId="0" fontId="14" fillId="0" borderId="13" xfId="19" applyFont="1" applyBorder="1" applyAlignment="1" applyProtection="1">
      <alignment horizontal="center" vertical="center" wrapText="1"/>
      <protection locked="0"/>
    </xf>
    <xf numFmtId="174" fontId="15" fillId="12" borderId="9" xfId="21" applyNumberFormat="1" applyFont="1" applyFill="1" applyBorder="1" applyAlignment="1" applyProtection="1">
      <alignment wrapText="1"/>
    </xf>
    <xf numFmtId="174" fontId="15" fillId="12" borderId="7" xfId="21" applyNumberFormat="1" applyFont="1" applyFill="1" applyBorder="1" applyAlignment="1" applyProtection="1">
      <alignment wrapText="1"/>
    </xf>
    <xf numFmtId="174" fontId="15" fillId="12" borderId="8" xfId="21" applyNumberFormat="1" applyFont="1" applyFill="1" applyBorder="1" applyAlignment="1" applyProtection="1">
      <alignment wrapText="1"/>
    </xf>
    <xf numFmtId="1" fontId="3" fillId="0" borderId="0" xfId="19" applyNumberFormat="1" applyProtection="1">
      <protection locked="0"/>
    </xf>
    <xf numFmtId="1" fontId="3" fillId="0" borderId="0" xfId="19" applyNumberFormat="1" applyAlignment="1" applyProtection="1">
      <alignment horizontal="right"/>
      <protection locked="0"/>
    </xf>
    <xf numFmtId="1" fontId="3" fillId="0" borderId="8" xfId="19" applyNumberFormat="1" applyBorder="1" applyAlignment="1" applyProtection="1">
      <alignment horizontal="right"/>
      <protection locked="0"/>
    </xf>
    <xf numFmtId="44" fontId="0" fillId="6" borderId="11" xfId="20" applyFont="1" applyFill="1" applyBorder="1" applyAlignment="1" applyProtection="1">
      <alignment vertical="center"/>
    </xf>
    <xf numFmtId="0" fontId="11" fillId="0" borderId="1" xfId="19" applyFont="1" applyBorder="1" applyAlignment="1">
      <alignment wrapText="1"/>
    </xf>
    <xf numFmtId="0" fontId="10" fillId="11" borderId="22" xfId="19" applyFont="1" applyFill="1" applyBorder="1"/>
    <xf numFmtId="0" fontId="3" fillId="11" borderId="0" xfId="19" applyFill="1"/>
    <xf numFmtId="0" fontId="3" fillId="0" borderId="3" xfId="19" applyBorder="1"/>
    <xf numFmtId="0" fontId="3" fillId="11" borderId="3" xfId="19" applyFill="1" applyBorder="1"/>
    <xf numFmtId="0" fontId="10" fillId="11" borderId="29" xfId="19" applyFont="1" applyFill="1" applyBorder="1"/>
    <xf numFmtId="0" fontId="10" fillId="11" borderId="30" xfId="19" applyFont="1" applyFill="1" applyBorder="1"/>
    <xf numFmtId="0" fontId="3" fillId="11" borderId="8" xfId="19" applyFill="1" applyBorder="1"/>
    <xf numFmtId="0" fontId="3" fillId="0" borderId="8" xfId="19" applyBorder="1"/>
    <xf numFmtId="0" fontId="3" fillId="11" borderId="5" xfId="19" applyFill="1" applyBorder="1"/>
    <xf numFmtId="0" fontId="3" fillId="11" borderId="7" xfId="19" applyFill="1" applyBorder="1"/>
    <xf numFmtId="0" fontId="3" fillId="0" borderId="9" xfId="19" applyBorder="1"/>
    <xf numFmtId="0" fontId="3" fillId="0" borderId="0" xfId="19" applyAlignment="1">
      <alignment horizontal="right"/>
    </xf>
    <xf numFmtId="0" fontId="3" fillId="0" borderId="5" xfId="19" applyBorder="1"/>
    <xf numFmtId="0" fontId="3" fillId="0" borderId="8" xfId="19" applyBorder="1" applyAlignment="1">
      <alignment horizontal="right"/>
    </xf>
    <xf numFmtId="3" fontId="3" fillId="0" borderId="8" xfId="19" applyNumberFormat="1" applyBorder="1"/>
    <xf numFmtId="0" fontId="3" fillId="11" borderId="6" xfId="19" applyFill="1" applyBorder="1"/>
    <xf numFmtId="0" fontId="3" fillId="11" borderId="9" xfId="19" applyFill="1" applyBorder="1"/>
    <xf numFmtId="0" fontId="3" fillId="0" borderId="7" xfId="19" applyBorder="1"/>
    <xf numFmtId="0" fontId="11" fillId="11" borderId="8" xfId="19" applyFont="1" applyFill="1" applyBorder="1"/>
    <xf numFmtId="0" fontId="10" fillId="11" borderId="43" xfId="19" applyFont="1" applyFill="1" applyBorder="1"/>
    <xf numFmtId="0" fontId="38" fillId="5" borderId="0" xfId="19" applyFont="1" applyFill="1"/>
    <xf numFmtId="0" fontId="32" fillId="5" borderId="8" xfId="19" applyFont="1" applyFill="1" applyBorder="1" applyAlignment="1">
      <alignment horizontal="center" wrapText="1"/>
    </xf>
    <xf numFmtId="0" fontId="11" fillId="11" borderId="6" xfId="19" applyFont="1" applyFill="1" applyBorder="1" applyProtection="1">
      <protection locked="0"/>
    </xf>
    <xf numFmtId="0" fontId="11" fillId="11" borderId="9" xfId="19" applyFont="1" applyFill="1" applyBorder="1" applyProtection="1">
      <protection locked="0"/>
    </xf>
    <xf numFmtId="0" fontId="3" fillId="0" borderId="27" xfId="19" applyBorder="1" applyProtection="1">
      <protection locked="0"/>
    </xf>
    <xf numFmtId="0" fontId="3" fillId="0" borderId="44" xfId="19" applyBorder="1" applyProtection="1">
      <protection locked="0"/>
    </xf>
    <xf numFmtId="0" fontId="3" fillId="0" borderId="43" xfId="19" applyBorder="1" applyProtection="1">
      <protection locked="0"/>
    </xf>
    <xf numFmtId="0" fontId="3" fillId="0" borderId="5" xfId="19" applyBorder="1" applyAlignment="1" applyProtection="1">
      <alignment wrapText="1"/>
      <protection locked="0"/>
    </xf>
    <xf numFmtId="0" fontId="3" fillId="0" borderId="7" xfId="19" applyBorder="1" applyAlignment="1" applyProtection="1">
      <alignment wrapText="1"/>
      <protection locked="0"/>
    </xf>
    <xf numFmtId="0" fontId="3" fillId="0" borderId="43" xfId="19" applyBorder="1" applyAlignment="1" applyProtection="1">
      <alignment wrapText="1"/>
      <protection locked="0"/>
    </xf>
    <xf numFmtId="0" fontId="3" fillId="0" borderId="44" xfId="19" applyBorder="1" applyAlignment="1" applyProtection="1">
      <alignment wrapText="1"/>
      <protection locked="0"/>
    </xf>
    <xf numFmtId="0" fontId="3" fillId="0" borderId="8" xfId="19" applyBorder="1" applyAlignment="1" applyProtection="1">
      <alignment wrapText="1"/>
      <protection locked="0"/>
    </xf>
    <xf numFmtId="0" fontId="3" fillId="0" borderId="9" xfId="19" applyBorder="1" applyAlignment="1" applyProtection="1">
      <alignment wrapText="1"/>
      <protection locked="0"/>
    </xf>
    <xf numFmtId="9" fontId="3" fillId="0" borderId="0" xfId="19" applyNumberFormat="1" applyAlignment="1" applyProtection="1">
      <alignment horizontal="center"/>
      <protection locked="0"/>
    </xf>
    <xf numFmtId="0" fontId="3" fillId="0" borderId="6" xfId="19" applyBorder="1" applyAlignment="1" applyProtection="1">
      <alignment horizontal="center"/>
      <protection locked="0"/>
    </xf>
    <xf numFmtId="0" fontId="3" fillId="0" borderId="5" xfId="19" applyBorder="1" applyAlignment="1" applyProtection="1">
      <alignment horizontal="center" wrapText="1"/>
      <protection locked="0"/>
    </xf>
    <xf numFmtId="0" fontId="3" fillId="0" borderId="0" xfId="19" applyAlignment="1" applyProtection="1">
      <alignment horizontal="center" wrapText="1"/>
      <protection locked="0"/>
    </xf>
    <xf numFmtId="0" fontId="3" fillId="0" borderId="0" xfId="19" applyAlignment="1" applyProtection="1">
      <alignment horizontal="center"/>
      <protection locked="0"/>
    </xf>
    <xf numFmtId="0" fontId="3" fillId="0" borderId="7" xfId="19" applyBorder="1" applyAlignment="1" applyProtection="1">
      <alignment horizontal="center" wrapText="1"/>
      <protection locked="0"/>
    </xf>
    <xf numFmtId="0" fontId="3" fillId="0" borderId="8" xfId="19" applyBorder="1" applyAlignment="1" applyProtection="1">
      <alignment horizontal="center" wrapText="1"/>
      <protection locked="0"/>
    </xf>
    <xf numFmtId="0" fontId="3" fillId="0" borderId="8" xfId="19" applyBorder="1" applyAlignment="1" applyProtection="1">
      <alignment horizontal="center"/>
      <protection locked="0"/>
    </xf>
    <xf numFmtId="0" fontId="3" fillId="0" borderId="9" xfId="19" applyBorder="1" applyAlignment="1" applyProtection="1">
      <alignment horizontal="center"/>
      <protection locked="0"/>
    </xf>
    <xf numFmtId="0" fontId="1" fillId="0" borderId="32" xfId="19" applyFont="1" applyBorder="1"/>
    <xf numFmtId="0" fontId="32" fillId="5" borderId="8" xfId="19" applyFont="1" applyFill="1" applyBorder="1" applyAlignment="1">
      <alignment horizontal="left" wrapText="1"/>
    </xf>
    <xf numFmtId="0" fontId="3" fillId="0" borderId="2" xfId="19" applyBorder="1" applyAlignment="1">
      <alignment horizontal="center"/>
    </xf>
    <xf numFmtId="0" fontId="3" fillId="0" borderId="3" xfId="19" applyBorder="1" applyAlignment="1">
      <alignment horizontal="center"/>
    </xf>
    <xf numFmtId="0" fontId="3" fillId="0" borderId="4" xfId="19" applyBorder="1" applyAlignment="1">
      <alignment horizontal="center"/>
    </xf>
    <xf numFmtId="0" fontId="3" fillId="0" borderId="5" xfId="19" applyBorder="1" applyAlignment="1">
      <alignment horizontal="center"/>
    </xf>
    <xf numFmtId="0" fontId="3" fillId="0" borderId="0" xfId="19" applyAlignment="1">
      <alignment horizontal="center"/>
    </xf>
    <xf numFmtId="0" fontId="3" fillId="0" borderId="6" xfId="19" applyBorder="1" applyAlignment="1">
      <alignment horizontal="center"/>
    </xf>
    <xf numFmtId="0" fontId="3" fillId="0" borderId="7" xfId="19" applyBorder="1" applyAlignment="1">
      <alignment horizontal="center"/>
    </xf>
    <xf numFmtId="0" fontId="3" fillId="0" borderId="8" xfId="19" applyBorder="1" applyAlignment="1">
      <alignment horizontal="center"/>
    </xf>
    <xf numFmtId="0" fontId="3" fillId="0" borderId="9" xfId="19" applyBorder="1" applyAlignment="1">
      <alignment horizontal="center"/>
    </xf>
    <xf numFmtId="0" fontId="3" fillId="4" borderId="11" xfId="19" applyFill="1" applyBorder="1" applyAlignment="1">
      <alignment horizontal="center" vertical="center"/>
    </xf>
    <xf numFmtId="0" fontId="3" fillId="4" borderId="10" xfId="19" applyFill="1" applyBorder="1" applyAlignment="1">
      <alignment horizontal="center" vertical="center"/>
    </xf>
    <xf numFmtId="0" fontId="32" fillId="5" borderId="8" xfId="19" applyFont="1" applyFill="1" applyBorder="1" applyAlignment="1">
      <alignment horizontal="center" wrapText="1"/>
    </xf>
    <xf numFmtId="0" fontId="0" fillId="0" borderId="1" xfId="0" applyBorder="1" applyAlignment="1">
      <alignment horizontal="center"/>
    </xf>
    <xf numFmtId="0" fontId="1" fillId="5" borderId="0" xfId="19" applyFont="1" applyFill="1"/>
    <xf numFmtId="44" fontId="1" fillId="5" borderId="0" xfId="19" applyNumberFormat="1" applyFont="1" applyFill="1"/>
    <xf numFmtId="0" fontId="1" fillId="4" borderId="10" xfId="19" applyFont="1" applyFill="1" applyBorder="1" applyAlignment="1">
      <alignment horizontal="center" vertical="center"/>
    </xf>
    <xf numFmtId="0" fontId="1" fillId="5" borderId="0" xfId="19" applyFont="1" applyFill="1" applyAlignment="1">
      <alignment horizontal="right" wrapText="1"/>
    </xf>
    <xf numFmtId="0" fontId="1" fillId="0" borderId="13" xfId="19" applyFont="1" applyBorder="1" applyAlignment="1">
      <alignment horizontal="center" vertical="center" wrapText="1"/>
    </xf>
    <xf numFmtId="0" fontId="1" fillId="0" borderId="14" xfId="19" applyFont="1" applyBorder="1" applyAlignment="1">
      <alignment horizontal="center" vertical="center" wrapText="1"/>
    </xf>
    <xf numFmtId="0" fontId="1" fillId="0" borderId="15" xfId="19" applyFont="1" applyBorder="1" applyAlignment="1">
      <alignment horizontal="center" vertical="center" wrapText="1"/>
    </xf>
    <xf numFmtId="0" fontId="1" fillId="0" borderId="27" xfId="19" applyFont="1" applyBorder="1" applyAlignment="1">
      <alignment horizontal="center" vertical="center" wrapText="1"/>
    </xf>
    <xf numFmtId="171" fontId="1" fillId="12" borderId="5" xfId="7" applyNumberFormat="1" applyFont="1" applyFill="1" applyBorder="1" applyProtection="1"/>
    <xf numFmtId="2" fontId="1" fillId="12" borderId="6" xfId="7" applyNumberFormat="1" applyFont="1" applyFill="1" applyBorder="1" applyAlignment="1" applyProtection="1">
      <alignment horizontal="right" vertical="center"/>
    </xf>
    <xf numFmtId="0" fontId="1" fillId="0" borderId="21" xfId="19" applyFont="1" applyBorder="1" applyProtection="1">
      <protection locked="0"/>
    </xf>
    <xf numFmtId="0" fontId="1" fillId="11" borderId="0" xfId="19" applyFont="1" applyFill="1" applyProtection="1">
      <protection locked="0"/>
    </xf>
    <xf numFmtId="0" fontId="1" fillId="0" borderId="0" xfId="19" applyFont="1" applyProtection="1">
      <protection locked="0"/>
    </xf>
    <xf numFmtId="0" fontId="1" fillId="0" borderId="3" xfId="19" applyFont="1" applyBorder="1" applyProtection="1">
      <protection locked="0"/>
    </xf>
    <xf numFmtId="44" fontId="1" fillId="0" borderId="3" xfId="21" applyFont="1" applyBorder="1" applyProtection="1">
      <protection locked="0"/>
    </xf>
    <xf numFmtId="0" fontId="1" fillId="0" borderId="5" xfId="19" applyFont="1" applyBorder="1" applyProtection="1">
      <protection locked="0"/>
    </xf>
    <xf numFmtId="44" fontId="1" fillId="0" borderId="0" xfId="21" applyFont="1" applyBorder="1" applyProtection="1">
      <protection locked="0"/>
    </xf>
    <xf numFmtId="0" fontId="1" fillId="0" borderId="7" xfId="19" applyFont="1" applyBorder="1" applyProtection="1">
      <protection locked="0"/>
    </xf>
    <xf numFmtId="0" fontId="1" fillId="13" borderId="7" xfId="19" applyFont="1" applyFill="1" applyBorder="1"/>
    <xf numFmtId="0" fontId="1" fillId="0" borderId="8" xfId="19" applyFont="1" applyBorder="1" applyProtection="1">
      <protection locked="0"/>
    </xf>
    <xf numFmtId="44" fontId="1" fillId="0" borderId="8" xfId="21" applyFont="1" applyBorder="1" applyProtection="1">
      <protection locked="0"/>
    </xf>
    <xf numFmtId="2" fontId="1" fillId="12" borderId="5" xfId="19" applyNumberFormat="1" applyFont="1" applyFill="1" applyBorder="1"/>
    <xf numFmtId="0" fontId="1" fillId="12" borderId="6" xfId="7" applyNumberFormat="1" applyFont="1" applyFill="1" applyBorder="1" applyAlignment="1" applyProtection="1">
      <alignment horizontal="right" vertical="center"/>
    </xf>
    <xf numFmtId="44" fontId="1" fillId="5" borderId="0" xfId="21" applyFont="1" applyFill="1" applyBorder="1" applyProtection="1"/>
    <xf numFmtId="170" fontId="1" fillId="12" borderId="0" xfId="7" applyNumberFormat="1" applyFont="1" applyFill="1" applyProtection="1"/>
    <xf numFmtId="43" fontId="1" fillId="12" borderId="6" xfId="7" applyFont="1" applyFill="1" applyBorder="1" applyProtection="1"/>
    <xf numFmtId="9" fontId="1" fillId="13" borderId="0" xfId="22" applyFont="1" applyFill="1" applyBorder="1" applyProtection="1"/>
    <xf numFmtId="44" fontId="1" fillId="0" borderId="5" xfId="21" applyFont="1" applyBorder="1" applyProtection="1">
      <protection locked="0"/>
    </xf>
    <xf numFmtId="9" fontId="1" fillId="13" borderId="8" xfId="22" applyFont="1" applyFill="1" applyBorder="1" applyProtection="1"/>
    <xf numFmtId="44" fontId="1" fillId="0" borderId="7" xfId="21" applyFont="1" applyBorder="1" applyProtection="1">
      <protection locked="0"/>
    </xf>
    <xf numFmtId="1" fontId="1" fillId="12" borderId="5" xfId="19" applyNumberFormat="1" applyFont="1" applyFill="1" applyBorder="1"/>
    <xf numFmtId="0" fontId="1" fillId="0" borderId="12" xfId="19" applyFont="1" applyBorder="1" applyAlignment="1">
      <alignment horizontal="center" vertical="center" wrapText="1"/>
    </xf>
    <xf numFmtId="0" fontId="1" fillId="0" borderId="13" xfId="19" applyFont="1" applyBorder="1" applyAlignment="1">
      <alignment horizontal="right" vertical="center" wrapText="1"/>
    </xf>
    <xf numFmtId="0" fontId="1" fillId="0" borderId="13" xfId="19" applyFont="1" applyBorder="1" applyAlignment="1">
      <alignment horizontal="left" vertical="center" wrapText="1"/>
    </xf>
    <xf numFmtId="0" fontId="1" fillId="0" borderId="12" xfId="19" applyFont="1" applyBorder="1" applyAlignment="1" applyProtection="1">
      <alignment horizontal="center" vertical="center" wrapText="1"/>
      <protection locked="0"/>
    </xf>
    <xf numFmtId="0" fontId="1" fillId="0" borderId="13" xfId="19" applyFont="1" applyBorder="1" applyAlignment="1" applyProtection="1">
      <alignment horizontal="center" vertical="center" wrapText="1"/>
      <protection locked="0"/>
    </xf>
    <xf numFmtId="0" fontId="1" fillId="0" borderId="13" xfId="19" applyFont="1" applyBorder="1" applyAlignment="1" applyProtection="1">
      <alignment horizontal="right" vertical="center" wrapText="1"/>
      <protection locked="0"/>
    </xf>
    <xf numFmtId="0" fontId="1" fillId="0" borderId="13" xfId="19" applyFont="1" applyBorder="1" applyAlignment="1" applyProtection="1">
      <alignment horizontal="left" vertical="center" wrapText="1"/>
      <protection locked="0"/>
    </xf>
    <xf numFmtId="171" fontId="1" fillId="12" borderId="6" xfId="7" applyNumberFormat="1" applyFont="1" applyFill="1" applyBorder="1" applyProtection="1"/>
    <xf numFmtId="3" fontId="1" fillId="0" borderId="0" xfId="19" applyNumberFormat="1" applyFont="1" applyProtection="1">
      <protection locked="0"/>
    </xf>
    <xf numFmtId="170" fontId="1" fillId="12" borderId="5" xfId="7" applyNumberFormat="1" applyFont="1" applyFill="1" applyBorder="1" applyProtection="1"/>
    <xf numFmtId="43" fontId="1" fillId="12" borderId="0" xfId="7" applyFont="1" applyFill="1" applyProtection="1"/>
    <xf numFmtId="170" fontId="1" fillId="12" borderId="6" xfId="7" applyNumberFormat="1" applyFont="1" applyFill="1" applyBorder="1" applyProtection="1"/>
    <xf numFmtId="0" fontId="1" fillId="5" borderId="0" xfId="19" applyFont="1" applyFill="1" applyAlignment="1">
      <alignment wrapText="1"/>
    </xf>
    <xf numFmtId="0" fontId="1" fillId="11" borderId="5" xfId="19" applyFont="1" applyFill="1" applyBorder="1" applyProtection="1">
      <protection locked="0"/>
    </xf>
    <xf numFmtId="0" fontId="1" fillId="11" borderId="7" xfId="19" applyFont="1" applyFill="1" applyBorder="1" applyProtection="1">
      <protection locked="0"/>
    </xf>
    <xf numFmtId="0" fontId="1" fillId="0" borderId="9" xfId="19" applyFont="1" applyBorder="1"/>
    <xf numFmtId="171" fontId="1" fillId="12" borderId="0" xfId="7" applyNumberFormat="1" applyFont="1" applyFill="1" applyProtection="1"/>
    <xf numFmtId="9" fontId="1" fillId="0" borderId="0" xfId="22" applyFont="1" applyProtection="1">
      <protection locked="0"/>
    </xf>
    <xf numFmtId="9" fontId="1" fillId="0" borderId="8" xfId="22" applyFont="1" applyBorder="1" applyProtection="1">
      <protection locked="0"/>
    </xf>
    <xf numFmtId="0" fontId="1" fillId="7" borderId="2" xfId="19" applyFont="1" applyFill="1" applyBorder="1"/>
    <xf numFmtId="0" fontId="1" fillId="7" borderId="3" xfId="19" applyFont="1" applyFill="1" applyBorder="1"/>
    <xf numFmtId="0" fontId="1" fillId="7" borderId="4" xfId="19" applyFont="1" applyFill="1" applyBorder="1"/>
    <xf numFmtId="0" fontId="1" fillId="5" borderId="2" xfId="19" applyFont="1" applyFill="1" applyBorder="1" applyAlignment="1">
      <alignment wrapText="1"/>
    </xf>
    <xf numFmtId="0" fontId="1" fillId="5" borderId="3" xfId="19" applyFont="1" applyFill="1" applyBorder="1" applyAlignment="1">
      <alignment wrapText="1"/>
    </xf>
    <xf numFmtId="0" fontId="1" fillId="5" borderId="4" xfId="19" applyFont="1" applyFill="1" applyBorder="1" applyAlignment="1">
      <alignment wrapText="1"/>
    </xf>
    <xf numFmtId="0" fontId="1" fillId="5" borderId="7" xfId="19" applyFont="1" applyFill="1" applyBorder="1" applyAlignment="1">
      <alignment wrapText="1"/>
    </xf>
    <xf numFmtId="0" fontId="1" fillId="5" borderId="8" xfId="19" applyFont="1" applyFill="1" applyBorder="1" applyAlignment="1">
      <alignment wrapText="1"/>
    </xf>
    <xf numFmtId="0" fontId="1" fillId="5" borderId="9" xfId="19" applyFont="1" applyFill="1" applyBorder="1" applyAlignment="1">
      <alignment wrapText="1"/>
    </xf>
    <xf numFmtId="0" fontId="1" fillId="0" borderId="21" xfId="19" applyFont="1" applyBorder="1"/>
    <xf numFmtId="0" fontId="1" fillId="11" borderId="0" xfId="19" applyFont="1" applyFill="1"/>
    <xf numFmtId="0" fontId="1" fillId="0" borderId="0" xfId="19" applyFont="1"/>
    <xf numFmtId="0" fontId="1" fillId="0" borderId="3" xfId="19" applyFont="1" applyBorder="1"/>
    <xf numFmtId="44" fontId="1" fillId="0" borderId="3" xfId="21" applyFont="1" applyBorder="1" applyProtection="1"/>
    <xf numFmtId="0" fontId="1" fillId="0" borderId="5" xfId="19" applyFont="1" applyBorder="1"/>
    <xf numFmtId="44" fontId="1" fillId="0" borderId="0" xfId="21" applyFont="1" applyBorder="1" applyProtection="1"/>
    <xf numFmtId="0" fontId="1" fillId="0" borderId="7" xfId="19" applyFont="1" applyBorder="1"/>
    <xf numFmtId="0" fontId="1" fillId="0" borderId="8" xfId="19" applyFont="1" applyBorder="1"/>
    <xf numFmtId="44" fontId="1" fillId="0" borderId="8" xfId="21" applyFont="1" applyBorder="1" applyProtection="1"/>
    <xf numFmtId="44" fontId="1" fillId="0" borderId="5" xfId="21" applyFont="1" applyBorder="1" applyProtection="1"/>
    <xf numFmtId="44" fontId="1" fillId="0" borderId="7" xfId="21" applyFont="1" applyBorder="1" applyProtection="1"/>
    <xf numFmtId="0" fontId="1" fillId="11" borderId="8" xfId="19" applyFont="1" applyFill="1" applyBorder="1"/>
    <xf numFmtId="0" fontId="1" fillId="11" borderId="5" xfId="19" applyFont="1" applyFill="1" applyBorder="1"/>
    <xf numFmtId="0" fontId="1" fillId="11" borderId="7" xfId="19" applyFont="1" applyFill="1" applyBorder="1"/>
    <xf numFmtId="9" fontId="1" fillId="0" borderId="0" xfId="22" applyFont="1" applyProtection="1"/>
    <xf numFmtId="9" fontId="1" fillId="0" borderId="8" xfId="22" applyFont="1" applyBorder="1" applyProtection="1"/>
    <xf numFmtId="0" fontId="1" fillId="0" borderId="27" xfId="19" applyFont="1" applyBorder="1" applyAlignment="1" applyProtection="1">
      <alignment wrapText="1"/>
      <protection locked="0"/>
    </xf>
    <xf numFmtId="0" fontId="1" fillId="0" borderId="5" xfId="19" applyFont="1" applyBorder="1" applyAlignment="1" applyProtection="1">
      <alignment horizontal="center" wrapText="1"/>
      <protection locked="0"/>
    </xf>
    <xf numFmtId="0" fontId="1" fillId="0" borderId="0" xfId="19" applyFont="1" applyAlignment="1" applyProtection="1">
      <alignment horizontal="center" wrapText="1"/>
      <protection locked="0"/>
    </xf>
    <xf numFmtId="0" fontId="1" fillId="0" borderId="5" xfId="19" applyFont="1" applyBorder="1" applyAlignment="1" applyProtection="1">
      <alignment wrapText="1"/>
      <protection locked="0"/>
    </xf>
    <xf numFmtId="0" fontId="1" fillId="0" borderId="6" xfId="19" applyFont="1" applyBorder="1" applyAlignment="1" applyProtection="1">
      <alignment horizontal="center" wrapText="1"/>
      <protection locked="0"/>
    </xf>
    <xf numFmtId="0" fontId="1" fillId="0" borderId="5" xfId="19" applyFont="1" applyBorder="1" applyAlignment="1" applyProtection="1">
      <alignment horizontal="center"/>
      <protection locked="0"/>
    </xf>
    <xf numFmtId="0" fontId="1" fillId="2" borderId="39" xfId="19" applyFont="1" applyFill="1" applyBorder="1"/>
    <xf numFmtId="0" fontId="1" fillId="9" borderId="0" xfId="19" applyFont="1" applyFill="1"/>
    <xf numFmtId="0" fontId="1" fillId="10" borderId="0" xfId="19" applyFont="1" applyFill="1"/>
    <xf numFmtId="0" fontId="1" fillId="0" borderId="31" xfId="19" applyFont="1" applyBorder="1"/>
    <xf numFmtId="0" fontId="1" fillId="2" borderId="2" xfId="19" applyFont="1" applyFill="1" applyBorder="1"/>
    <xf numFmtId="0" fontId="1" fillId="2" borderId="4" xfId="19" applyFont="1" applyFill="1" applyBorder="1"/>
    <xf numFmtId="0" fontId="1" fillId="0" borderId="6" xfId="19" applyFont="1" applyBorder="1"/>
    <xf numFmtId="9" fontId="1" fillId="0" borderId="6" xfId="22" applyFont="1" applyBorder="1"/>
    <xf numFmtId="9" fontId="1" fillId="0" borderId="9" xfId="22" applyFont="1" applyBorder="1"/>
    <xf numFmtId="0" fontId="1" fillId="0" borderId="31" xfId="19" applyFont="1" applyBorder="1" applyAlignment="1">
      <alignment wrapText="1"/>
    </xf>
    <xf numFmtId="3" fontId="1" fillId="0" borderId="0" xfId="19" applyNumberFormat="1" applyFont="1"/>
    <xf numFmtId="0" fontId="1" fillId="0" borderId="0" xfId="17" applyFont="1"/>
    <xf numFmtId="0" fontId="1" fillId="2" borderId="31" xfId="19" applyFont="1" applyFill="1" applyBorder="1"/>
    <xf numFmtId="0" fontId="1" fillId="0" borderId="0" xfId="19" applyFont="1" applyAlignment="1">
      <alignment wrapText="1"/>
    </xf>
    <xf numFmtId="0" fontId="1" fillId="3" borderId="27" xfId="19" applyFont="1" applyFill="1" applyBorder="1" applyAlignment="1">
      <alignment horizontal="center"/>
    </xf>
    <xf numFmtId="0" fontId="1" fillId="3" borderId="19" xfId="19" applyFont="1" applyFill="1" applyBorder="1" applyAlignment="1">
      <alignment horizontal="center"/>
    </xf>
    <xf numFmtId="0" fontId="1" fillId="3" borderId="28" xfId="19" applyFont="1" applyFill="1" applyBorder="1" applyAlignment="1">
      <alignment horizontal="center"/>
    </xf>
    <xf numFmtId="0" fontId="1" fillId="0" borderId="23" xfId="19" applyFont="1" applyBorder="1"/>
    <xf numFmtId="0" fontId="1" fillId="0" borderId="37" xfId="19" applyFont="1" applyBorder="1"/>
    <xf numFmtId="0" fontId="1" fillId="0" borderId="24" xfId="19" applyFont="1" applyBorder="1"/>
    <xf numFmtId="0" fontId="1" fillId="0" borderId="25" xfId="19" applyFont="1" applyBorder="1"/>
    <xf numFmtId="0" fontId="1" fillId="0" borderId="38" xfId="19" applyFont="1" applyBorder="1"/>
    <xf numFmtId="0" fontId="1" fillId="0" borderId="26" xfId="19" applyFont="1" applyBorder="1"/>
  </cellXfs>
  <cellStyles count="28">
    <cellStyle name="$/kW" xfId="1" xr:uid="{00000000-0005-0000-0000-000000000000}"/>
    <cellStyle name="$/kWh" xfId="2" xr:uid="{00000000-0005-0000-0000-000001000000}"/>
    <cellStyle name="$/kW-yr" xfId="3" xr:uid="{00000000-0005-0000-0000-000002000000}"/>
    <cellStyle name="$/MWh" xfId="4" xr:uid="{00000000-0005-0000-0000-000003000000}"/>
    <cellStyle name="$M" xfId="5" xr:uid="{00000000-0005-0000-0000-000004000000}"/>
    <cellStyle name="cents" xfId="6" xr:uid="{00000000-0005-0000-0000-000005000000}"/>
    <cellStyle name="Comma" xfId="7" builtinId="3"/>
    <cellStyle name="Comma 2" xfId="8" xr:uid="{00000000-0005-0000-0000-000007000000}"/>
    <cellStyle name="Comma 3" xfId="9" xr:uid="{00000000-0005-0000-0000-000008000000}"/>
    <cellStyle name="Currency" xfId="21" builtinId="4"/>
    <cellStyle name="Currency 2" xfId="10" xr:uid="{00000000-0005-0000-0000-000009000000}"/>
    <cellStyle name="Currency 3" xfId="11" xr:uid="{00000000-0005-0000-0000-00000A000000}"/>
    <cellStyle name="Currency 4" xfId="20" xr:uid="{00000000-0005-0000-0000-00000B000000}"/>
    <cellStyle name="Currency 4 2" xfId="27" xr:uid="{3F3D6209-2829-43DE-85DF-B3DD2944976B}"/>
    <cellStyle name="Hyperlink" xfId="23" builtinId="8"/>
    <cellStyle name="Normal" xfId="0" builtinId="0"/>
    <cellStyle name="Normal 2" xfId="12" xr:uid="{00000000-0005-0000-0000-00000D000000}"/>
    <cellStyle name="Normal 3" xfId="13" xr:uid="{00000000-0005-0000-0000-00000E000000}"/>
    <cellStyle name="Normal 4" xfId="17" xr:uid="{00000000-0005-0000-0000-00000F000000}"/>
    <cellStyle name="Normal 4 2" xfId="24" xr:uid="{447D0366-D92E-4167-8709-4E6DFD0F1F78}"/>
    <cellStyle name="Normal 5" xfId="18" xr:uid="{00000000-0005-0000-0000-000010000000}"/>
    <cellStyle name="Normal 5 2" xfId="25" xr:uid="{A1249947-CD99-4727-B335-A2AC87CF418F}"/>
    <cellStyle name="Normal 6" xfId="19" xr:uid="{00000000-0005-0000-0000-000011000000}"/>
    <cellStyle name="Normal 6 2" xfId="26" xr:uid="{B5E6A05C-7254-431C-B36A-7EB07E9AE3DF}"/>
    <cellStyle name="Percent" xfId="22" builtinId="5"/>
    <cellStyle name="Percent 2" xfId="14" xr:uid="{00000000-0005-0000-0000-000012000000}"/>
    <cellStyle name="Percent 3" xfId="15" xr:uid="{00000000-0005-0000-0000-000013000000}"/>
    <cellStyle name="Style 1" xfId="16" xr:uid="{00000000-0005-0000-0000-000014000000}"/>
  </cellStyles>
  <dxfs count="40">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none">
          <bgColor auto="1"/>
        </patternFill>
      </fill>
    </dxf>
    <dxf>
      <fill>
        <patternFill patternType="solid">
          <bgColor rgb="FFFFFF00"/>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bgColor theme="5"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patternType="none">
          <bgColor auto="1"/>
        </patternFill>
      </fill>
    </dxf>
    <dxf>
      <fill>
        <patternFill patternType="solid">
          <bgColor rgb="FFFFFF00"/>
        </patternFill>
      </fill>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1</xdr:col>
      <xdr:colOff>35659</xdr:colOff>
      <xdr:row>32</xdr:row>
      <xdr:rowOff>68091</xdr:rowOff>
    </xdr:from>
    <xdr:ext cx="4077189" cy="1528295"/>
    <xdr:pic>
      <xdr:nvPicPr>
        <xdr:cNvPr id="3"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3794" y="4684053"/>
          <a:ext cx="4068396" cy="14963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14</xdr:col>
      <xdr:colOff>568325</xdr:colOff>
      <xdr:row>20</xdr:row>
      <xdr:rowOff>159622</xdr:rowOff>
    </xdr:from>
    <xdr:to>
      <xdr:col>26</xdr:col>
      <xdr:colOff>358775</xdr:colOff>
      <xdr:row>24</xdr:row>
      <xdr:rowOff>126898</xdr:rowOff>
    </xdr:to>
    <xdr:pic>
      <xdr:nvPicPr>
        <xdr:cNvPr id="6" name="Picture 6">
          <a:extLst>
            <a:ext uri="{FF2B5EF4-FFF2-40B4-BE49-F238E27FC236}">
              <a16:creationId xmlns:a16="http://schemas.microsoft.com/office/drawing/2014/main" id="{B5AFF962-F6F9-4D77-A4AF-95D6A4A59B73}"/>
            </a:ext>
          </a:extLst>
        </xdr:cNvPr>
        <xdr:cNvPicPr>
          <a:picLocks noChangeAspect="1"/>
        </xdr:cNvPicPr>
      </xdr:nvPicPr>
      <xdr:blipFill>
        <a:blip xmlns:r="http://schemas.openxmlformats.org/officeDocument/2006/relationships" r:embed="rId1"/>
        <a:stretch>
          <a:fillRect/>
        </a:stretch>
      </xdr:blipFill>
      <xdr:spPr>
        <a:xfrm>
          <a:off x="13122275" y="4979272"/>
          <a:ext cx="7829550" cy="621326"/>
        </a:xfrm>
        <a:prstGeom prst="rect">
          <a:avLst/>
        </a:prstGeom>
      </xdr:spPr>
    </xdr:pic>
    <xdr:clientData/>
  </xdr:twoCellAnchor>
  <xdr:twoCellAnchor editAs="oneCell">
    <xdr:from>
      <xdr:col>16</xdr:col>
      <xdr:colOff>190500</xdr:colOff>
      <xdr:row>6</xdr:row>
      <xdr:rowOff>57755</xdr:rowOff>
    </xdr:from>
    <xdr:to>
      <xdr:col>29</xdr:col>
      <xdr:colOff>228600</xdr:colOff>
      <xdr:row>6</xdr:row>
      <xdr:rowOff>531620</xdr:rowOff>
    </xdr:to>
    <xdr:pic>
      <xdr:nvPicPr>
        <xdr:cNvPr id="23" name="Picture 7">
          <a:extLst>
            <a:ext uri="{FF2B5EF4-FFF2-40B4-BE49-F238E27FC236}">
              <a16:creationId xmlns:a16="http://schemas.microsoft.com/office/drawing/2014/main" id="{EB9D4610-33AB-4030-80CE-F37EF5326F96}"/>
            </a:ext>
          </a:extLst>
        </xdr:cNvPr>
        <xdr:cNvPicPr>
          <a:picLocks noChangeAspect="1"/>
        </xdr:cNvPicPr>
      </xdr:nvPicPr>
      <xdr:blipFill>
        <a:blip xmlns:r="http://schemas.openxmlformats.org/officeDocument/2006/relationships" r:embed="rId2"/>
        <a:stretch>
          <a:fillRect/>
        </a:stretch>
      </xdr:blipFill>
      <xdr:spPr>
        <a:xfrm>
          <a:off x="14506575" y="1124555"/>
          <a:ext cx="8315325" cy="464340"/>
        </a:xfrm>
        <a:prstGeom prst="rect">
          <a:avLst/>
        </a:prstGeom>
      </xdr:spPr>
    </xdr:pic>
    <xdr:clientData/>
  </xdr:twoCellAnchor>
  <xdr:twoCellAnchor editAs="oneCell">
    <xdr:from>
      <xdr:col>16</xdr:col>
      <xdr:colOff>38353</xdr:colOff>
      <xdr:row>7</xdr:row>
      <xdr:rowOff>247650</xdr:rowOff>
    </xdr:from>
    <xdr:to>
      <xdr:col>29</xdr:col>
      <xdr:colOff>360361</xdr:colOff>
      <xdr:row>11</xdr:row>
      <xdr:rowOff>50444</xdr:rowOff>
    </xdr:to>
    <xdr:pic>
      <xdr:nvPicPr>
        <xdr:cNvPr id="18" name="Picture 8">
          <a:extLst>
            <a:ext uri="{FF2B5EF4-FFF2-40B4-BE49-F238E27FC236}">
              <a16:creationId xmlns:a16="http://schemas.microsoft.com/office/drawing/2014/main" id="{58E3F67F-76B7-4EBA-BD30-BA5BF76D1180}"/>
            </a:ext>
          </a:extLst>
        </xdr:cNvPr>
        <xdr:cNvPicPr>
          <a:picLocks noChangeAspect="1"/>
        </xdr:cNvPicPr>
      </xdr:nvPicPr>
      <xdr:blipFill>
        <a:blip xmlns:r="http://schemas.openxmlformats.org/officeDocument/2006/relationships" r:embed="rId3"/>
        <a:stretch>
          <a:fillRect/>
        </a:stretch>
      </xdr:blipFill>
      <xdr:spPr>
        <a:xfrm>
          <a:off x="14268703" y="1952625"/>
          <a:ext cx="8589708" cy="694969"/>
        </a:xfrm>
        <a:prstGeom prst="rect">
          <a:avLst/>
        </a:prstGeom>
      </xdr:spPr>
    </xdr:pic>
    <xdr:clientData/>
  </xdr:twoCellAnchor>
  <xdr:twoCellAnchor editAs="oneCell">
    <xdr:from>
      <xdr:col>8</xdr:col>
      <xdr:colOff>638175</xdr:colOff>
      <xdr:row>0</xdr:row>
      <xdr:rowOff>9525</xdr:rowOff>
    </xdr:from>
    <xdr:to>
      <xdr:col>19</xdr:col>
      <xdr:colOff>149558</xdr:colOff>
      <xdr:row>3</xdr:row>
      <xdr:rowOff>121279</xdr:rowOff>
    </xdr:to>
    <xdr:pic>
      <xdr:nvPicPr>
        <xdr:cNvPr id="22" name="Picture 9">
          <a:extLst>
            <a:ext uri="{FF2B5EF4-FFF2-40B4-BE49-F238E27FC236}">
              <a16:creationId xmlns:a16="http://schemas.microsoft.com/office/drawing/2014/main" id="{C23DE0E2-B365-4D94-B3AC-5ACF1624A4C9}"/>
            </a:ext>
            <a:ext uri="{147F2762-F138-4A5C-976F-8EAC2B608ADB}">
              <a16:predDERef xmlns:a16="http://schemas.microsoft.com/office/drawing/2014/main" pred="{A99FF15D-4386-43C7-A7C8-53BC39A24DCB}"/>
            </a:ext>
          </a:extLst>
        </xdr:cNvPr>
        <xdr:cNvPicPr>
          <a:picLocks noChangeAspect="1"/>
        </xdr:cNvPicPr>
      </xdr:nvPicPr>
      <xdr:blipFill>
        <a:blip xmlns:r="http://schemas.openxmlformats.org/officeDocument/2006/relationships" r:embed="rId4"/>
        <a:stretch>
          <a:fillRect/>
        </a:stretch>
      </xdr:blipFill>
      <xdr:spPr>
        <a:xfrm>
          <a:off x="7115175" y="9525"/>
          <a:ext cx="8731583" cy="664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238125</xdr:colOff>
      <xdr:row>0</xdr:row>
      <xdr:rowOff>0</xdr:rowOff>
    </xdr:from>
    <xdr:to>
      <xdr:col>29</xdr:col>
      <xdr:colOff>401588</xdr:colOff>
      <xdr:row>14</xdr:row>
      <xdr:rowOff>28266</xdr:rowOff>
    </xdr:to>
    <xdr:pic>
      <xdr:nvPicPr>
        <xdr:cNvPr id="2" name="Picture 1">
          <a:extLst>
            <a:ext uri="{FF2B5EF4-FFF2-40B4-BE49-F238E27FC236}">
              <a16:creationId xmlns:a16="http://schemas.microsoft.com/office/drawing/2014/main" id="{0916C153-377C-4BA6-A566-4DBDC74F3F1D}"/>
            </a:ext>
          </a:extLst>
        </xdr:cNvPr>
        <xdr:cNvPicPr>
          <a:picLocks noChangeAspect="1"/>
        </xdr:cNvPicPr>
      </xdr:nvPicPr>
      <xdr:blipFill>
        <a:blip xmlns:r="http://schemas.openxmlformats.org/officeDocument/2006/relationships" r:embed="rId1"/>
        <a:stretch>
          <a:fillRect/>
        </a:stretch>
      </xdr:blipFill>
      <xdr:spPr>
        <a:xfrm>
          <a:off x="11763375" y="0"/>
          <a:ext cx="9307463" cy="2787341"/>
        </a:xfrm>
        <a:prstGeom prst="rect">
          <a:avLst/>
        </a:prstGeom>
      </xdr:spPr>
    </xdr:pic>
    <xdr:clientData/>
  </xdr:twoCellAnchor>
  <xdr:twoCellAnchor editAs="oneCell">
    <xdr:from>
      <xdr:col>6</xdr:col>
      <xdr:colOff>549275</xdr:colOff>
      <xdr:row>12</xdr:row>
      <xdr:rowOff>190079</xdr:rowOff>
    </xdr:from>
    <xdr:to>
      <xdr:col>17</xdr:col>
      <xdr:colOff>211081</xdr:colOff>
      <xdr:row>27</xdr:row>
      <xdr:rowOff>29559</xdr:rowOff>
    </xdr:to>
    <xdr:pic>
      <xdr:nvPicPr>
        <xdr:cNvPr id="3" name="Picture 2">
          <a:extLst>
            <a:ext uri="{FF2B5EF4-FFF2-40B4-BE49-F238E27FC236}">
              <a16:creationId xmlns:a16="http://schemas.microsoft.com/office/drawing/2014/main" id="{B11AB731-BD87-4F7A-82D0-CA4E40966D90}"/>
            </a:ext>
          </a:extLst>
        </xdr:cNvPr>
        <xdr:cNvPicPr>
          <a:picLocks noChangeAspect="1"/>
        </xdr:cNvPicPr>
      </xdr:nvPicPr>
      <xdr:blipFill>
        <a:blip xmlns:r="http://schemas.openxmlformats.org/officeDocument/2006/relationships" r:embed="rId2"/>
        <a:stretch>
          <a:fillRect/>
        </a:stretch>
      </xdr:blipFill>
      <xdr:spPr>
        <a:xfrm>
          <a:off x="7197725" y="2571329"/>
          <a:ext cx="6367406" cy="2693805"/>
        </a:xfrm>
        <a:prstGeom prst="rect">
          <a:avLst/>
        </a:prstGeom>
      </xdr:spPr>
    </xdr:pic>
    <xdr:clientData/>
  </xdr:twoCellAnchor>
  <xdr:twoCellAnchor editAs="oneCell">
    <xdr:from>
      <xdr:col>7</xdr:col>
      <xdr:colOff>262889</xdr:colOff>
      <xdr:row>0</xdr:row>
      <xdr:rowOff>123825</xdr:rowOff>
    </xdr:from>
    <xdr:to>
      <xdr:col>14</xdr:col>
      <xdr:colOff>17502</xdr:colOff>
      <xdr:row>12</xdr:row>
      <xdr:rowOff>55656</xdr:rowOff>
    </xdr:to>
    <xdr:pic>
      <xdr:nvPicPr>
        <xdr:cNvPr id="5" name="Picture 3">
          <a:extLst>
            <a:ext uri="{FF2B5EF4-FFF2-40B4-BE49-F238E27FC236}">
              <a16:creationId xmlns:a16="http://schemas.microsoft.com/office/drawing/2014/main" id="{4727A894-B951-42FC-8BA0-DD8F5215E0E9}"/>
            </a:ext>
          </a:extLst>
        </xdr:cNvPr>
        <xdr:cNvPicPr>
          <a:picLocks noChangeAspect="1"/>
        </xdr:cNvPicPr>
      </xdr:nvPicPr>
      <xdr:blipFill>
        <a:blip xmlns:r="http://schemas.openxmlformats.org/officeDocument/2006/relationships" r:embed="rId3"/>
        <a:stretch>
          <a:fillRect/>
        </a:stretch>
      </xdr:blipFill>
      <xdr:spPr>
        <a:xfrm>
          <a:off x="6520814" y="123825"/>
          <a:ext cx="4024988" cy="219243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ikelann Scerbo" id="{4C64D6F1-9986-474F-92FB-40E423620498}" userId="S::mscerbo@dcseu.com::b43fa0f7-319d-48aa-8239-805a893faef1" providerId="AD"/>
  <person displayName="Ronald Hobson" id="{A5EC9672-4DEE-4977-8AD7-655E14F5C846}" userId="S::rhobson@dcseu.com::69bc45df-f937-4169-8043-f22b440e3bf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3" dT="2024-05-20T17:45:33.59" personId="{4C64D6F1-9986-474F-92FB-40E423620498}" id="{AAE154FC-EE69-441C-B1A0-DE41E0A2DB47}">
    <text>https://trm.veic.org/dcseu/contents/characterizations/1019/low-flow-showerhead</text>
    <extLst>
      <x:ext xmlns:xltc2="http://schemas.microsoft.com/office/spreadsheetml/2020/threadedcomments2" uri="{F7C98A9C-CBB3-438F-8F68-D28B6AF4A901}">
        <xltc2:checksum>873578865</xltc2:checksum>
        <xltc2:hyperlink startIndex="0" length="78" url="https://trm.veic.org/dcseu/contents/characterizations/1019/low-flow-showerhead"/>
      </x:ext>
    </extLst>
  </threadedComment>
  <threadedComment ref="B54" dT="2024-05-20T17:45:08.57" personId="{4C64D6F1-9986-474F-92FB-40E423620498}" id="{8FCC2058-9441-433E-B70E-4BC05A4619C6}">
    <text>https://trm.veic.org/dcseu/contents/characterizations/762/faucet-aerators</text>
    <extLst>
      <x:ext xmlns:xltc2="http://schemas.microsoft.com/office/spreadsheetml/2020/threadedcomments2" uri="{F7C98A9C-CBB3-438F-8F68-D28B6AF4A901}">
        <xltc2:checksum>3442379619</xltc2:checksum>
        <xltc2:hyperlink startIndex="0" length="73" url="https://trm.veic.org/dcseu/contents/characterizations/762/faucet-aerators"/>
      </x:ext>
    </extLst>
  </threadedComment>
  <threadedComment ref="A76" dT="2024-05-20T17:32:53.16" personId="{A5EC9672-4DEE-4977-8AD7-655E14F5C846}" id="{FA8DD3C4-9E4C-4CE8-9AAA-E672AD359344}">
    <text>https://trm.veic.org/evt/contents/characterizations/939/energy-star-residential-ventilation-fans-non-continuous</text>
    <extLst>
      <x:ext xmlns:xltc2="http://schemas.microsoft.com/office/spreadsheetml/2020/threadedcomments2" uri="{F7C98A9C-CBB3-438F-8F68-D28B6AF4A901}">
        <xltc2:checksum>4112473876</xltc2:checksum>
        <xltc2:hyperlink startIndex="0" length="111" url="https://trm.veic.org/evt/contents/characterizations/939/energy-star-residential-ventilation-fans-non-continuous"/>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L14" dT="2024-05-20T03:38:02.41" personId="{4C64D6F1-9986-474F-92FB-40E423620498}" id="{1AD95DE4-1DB6-49F4-AC00-E3C6CBAA35D2}">
    <text>Heating penalty is not calculated for the purpose of this tool since it doesn't count against the yield.</text>
  </threadedComment>
  <threadedComment ref="B15" dT="2024-05-20T17:24:44.60" personId="{4C64D6F1-9986-474F-92FB-40E423620498}" id="{70006DD1-DD62-4C72-9FCE-64F9AC8D2B97}">
    <text>https://trm.veic.org/dcseu/contents/characterizations/1097/variable-frequency-drives-vfd</text>
    <extLst>
      <x:ext xmlns:xltc2="http://schemas.microsoft.com/office/spreadsheetml/2020/threadedcomments2" uri="{F7C98A9C-CBB3-438F-8F68-D28B6AF4A901}">
        <xltc2:checksum>859038547</xltc2:checksum>
        <xltc2:hyperlink startIndex="0" length="88" url="https://trm.veic.org/dcseu/contents/characterizations/1097/variable-frequency-drives-vfd"/>
      </x:ext>
    </extLst>
  </threadedComment>
  <threadedComment ref="B18" dT="2024-05-20T17:24:44.60" personId="{4C64D6F1-9986-474F-92FB-40E423620498}" id="{6E062853-B7A5-4FB7-951E-362DFB597512}">
    <text>https://trm.veic.org/dcseu/contents/characterizations/1097/variable-frequency-drives-vfd</text>
    <extLst>
      <x:ext xmlns:xltc2="http://schemas.microsoft.com/office/spreadsheetml/2020/threadedcomments2" uri="{F7C98A9C-CBB3-438F-8F68-D28B6AF4A901}">
        <xltc2:checksum>859038547</xltc2:checksum>
        <xltc2:hyperlink startIndex="0" length="88" url="https://trm.veic.org/dcseu/contents/characterizations/1097/variable-frequency-drives-vfd"/>
      </x:ext>
    </extLst>
  </threadedComment>
  <threadedComment ref="B21" dT="2024-05-20T17:24:53.90" personId="{4C64D6F1-9986-474F-92FB-40E423620498}" id="{D1B6C776-B9CB-4FBA-B690-607C02E6BAA1}">
    <text>https://trm.veic.org/dcseu/contents/characterizations/1097/variable-frequency-drives-vfd</text>
    <extLst>
      <x:ext xmlns:xltc2="http://schemas.microsoft.com/office/spreadsheetml/2020/threadedcomments2" uri="{F7C98A9C-CBB3-438F-8F68-D28B6AF4A901}">
        <xltc2:checksum>859038547</xltc2:checksum>
        <xltc2:hyperlink startIndex="0" length="88" url="https://trm.veic.org/dcseu/contents/characterizations/1097/variable-frequency-drives-vfd"/>
      </x:ext>
    </extLst>
  </threadedComment>
  <threadedComment ref="B24" dT="2024-05-20T17:24:53.90" personId="{4C64D6F1-9986-474F-92FB-40E423620498}" id="{2D61DAFF-0F2A-42E5-A5CE-29B87C6154C4}">
    <text>https://trm.veic.org/dcseu/contents/characterizations/1097/variable-frequency-drives-vfd</text>
    <extLst>
      <x:ext xmlns:xltc2="http://schemas.microsoft.com/office/spreadsheetml/2020/threadedcomments2" uri="{F7C98A9C-CBB3-438F-8F68-D28B6AF4A901}">
        <xltc2:checksum>859038547</xltc2:checksum>
        <xltc2:hyperlink startIndex="0" length="88" url="https://trm.veic.org/dcseu/contents/characterizations/1097/variable-frequency-drives-vfd"/>
      </x:ext>
    </extLst>
  </threadedComment>
  <threadedComment ref="B27" dT="2024-05-20T17:25:03.58" personId="{4C64D6F1-9986-474F-92FB-40E423620498}" id="{AF715B0F-603F-41F5-95E9-01E099C94C0B}">
    <text>https://trm.veic.org/dcseu/contents/characterizations/1184/ductless-mini-split-heat-pump</text>
    <extLst>
      <x:ext xmlns:xltc2="http://schemas.microsoft.com/office/spreadsheetml/2020/threadedcomments2" uri="{F7C98A9C-CBB3-438F-8F68-D28B6AF4A901}">
        <xltc2:checksum>3634868385</xltc2:checksum>
        <xltc2:hyperlink startIndex="0" length="88" url="https://trm.veic.org/dcseu/contents/characterizations/1184/ductless-mini-split-heat-pump"/>
      </x:ext>
    </extLst>
  </threadedComment>
  <threadedComment ref="B30" dT="2024-05-20T17:25:03.58" personId="{4C64D6F1-9986-474F-92FB-40E423620498}" id="{5BFDD901-9BC8-4D77-AECA-9C659F5C9783}">
    <text>https://trm.veic.org/dcseu/contents/characterizations/1184/ductless-mini-split-heat-pump</text>
    <extLst>
      <x:ext xmlns:xltc2="http://schemas.microsoft.com/office/spreadsheetml/2020/threadedcomments2" uri="{F7C98A9C-CBB3-438F-8F68-D28B6AF4A901}">
        <xltc2:checksum>3634868385</xltc2:checksum>
        <xltc2:hyperlink startIndex="0" length="88" url="https://trm.veic.org/dcseu/contents/characterizations/1184/ductless-mini-split-heat-pump"/>
      </x:ext>
    </extLst>
  </threadedComment>
  <threadedComment ref="B33" dT="2024-05-20T17:25:24.34" personId="{4C64D6F1-9986-474F-92FB-40E423620498}" id="{A1046025-4C80-4FB8-8A3D-C05B11C58C91}">
    <text>https://trm.veic.org/dcseu/contents/characterizations/1186/residential-centrally-ducted-air-source-heat-pump</text>
    <extLst>
      <x:ext xmlns:xltc2="http://schemas.microsoft.com/office/spreadsheetml/2020/threadedcomments2" uri="{F7C98A9C-CBB3-438F-8F68-D28B6AF4A901}">
        <xltc2:checksum>653027938</xltc2:checksum>
        <xltc2:hyperlink startIndex="0" length="108" url="https://trm.veic.org/dcseu/contents/characterizations/1186/residential-centrally-ducted-air-source-heat-pump"/>
      </x:ext>
    </extLst>
  </threadedComment>
  <threadedComment ref="B33" dT="2024-05-24T15:49:39.70" personId="{4C64D6F1-9986-474F-92FB-40E423620498}" id="{E3FA49CA-7C3E-4F3A-9083-9083CB7F0F65}" parentId="{A1046025-4C80-4FB8-8A3D-C05B11C58C91}">
    <text>Although we started with the TRM, we wanted to align the electric heating savings with the ductless mini-split method so as not to overestimate savings.</text>
  </threadedComment>
  <threadedComment ref="B36" dT="2024-05-20T17:25:24.34" personId="{4C64D6F1-9986-474F-92FB-40E423620498}" id="{ACD11E56-D19D-419C-853F-9B6DEF44D5A8}">
    <text>https://trm.veic.org/dcseu/contents/characterizations/1186/residential-centrally-ducted-air-source-heat-pump</text>
    <extLst>
      <x:ext xmlns:xltc2="http://schemas.microsoft.com/office/spreadsheetml/2020/threadedcomments2" uri="{F7C98A9C-CBB3-438F-8F68-D28B6AF4A901}">
        <xltc2:checksum>653027938</xltc2:checksum>
        <xltc2:hyperlink startIndex="0" length="108" url="https://trm.veic.org/dcseu/contents/characterizations/1186/residential-centrally-ducted-air-source-heat-pump"/>
      </x:ext>
    </extLst>
  </threadedComment>
  <threadedComment ref="B36" dT="2024-05-24T15:49:39.70" personId="{4C64D6F1-9986-474F-92FB-40E423620498}" id="{E4925AA1-48DA-4EF8-965C-C636168FC30B}" parentId="{ACD11E56-D19D-419C-853F-9B6DEF44D5A8}">
    <text>Although we started with the TRM, we wanted to align the electric heating savings with the ductless mini-split method so as not to overestimate savings.</text>
  </threadedComment>
  <threadedComment ref="B39" dT="2024-05-20T17:25:16.65" personId="{4C64D6F1-9986-474F-92FB-40E423620498}" id="{F6154CF4-C552-4ED5-9F28-6D78C1706310}">
    <text>https://trm.veic.org/dcseu/contents/characterizations/1175/high-efficiency-central-air-conditioning</text>
    <extLst>
      <x:ext xmlns:xltc2="http://schemas.microsoft.com/office/spreadsheetml/2020/threadedcomments2" uri="{F7C98A9C-CBB3-438F-8F68-D28B6AF4A901}">
        <xltc2:checksum>1695639172</xltc2:checksum>
        <xltc2:hyperlink startIndex="0" length="99" url="https://trm.veic.org/dcseu/contents/characterizations/1175/high-efficiency-central-air-conditioning"/>
      </x:ext>
    </extLst>
  </threadedComment>
  <threadedComment ref="B42" dT="2024-05-20T17:25:16.65" personId="{4C64D6F1-9986-474F-92FB-40E423620498}" id="{DAD7DF9D-F888-4483-A5C8-3B1AB67CF121}">
    <text>https://trm.veic.org/dcseu/contents/characterizations/1175/high-efficiency-central-air-conditioning</text>
    <extLst>
      <x:ext xmlns:xltc2="http://schemas.microsoft.com/office/spreadsheetml/2020/threadedcomments2" uri="{F7C98A9C-CBB3-438F-8F68-D28B6AF4A901}">
        <xltc2:checksum>1695639172</xltc2:checksum>
        <xltc2:hyperlink startIndex="0" length="99" url="https://trm.veic.org/dcseu/contents/characterizations/1175/high-efficiency-central-air-conditioning"/>
      </x:ext>
    </extLst>
  </threadedComment>
</ThreadedComments>
</file>

<file path=xl/threadedComments/threadedComment3.xml><?xml version="1.0" encoding="utf-8"?>
<ThreadedComments xmlns="http://schemas.microsoft.com/office/spreadsheetml/2018/threadedcomments" xmlns:x="http://schemas.openxmlformats.org/spreadsheetml/2006/main">
  <threadedComment ref="A1" dT="2024-05-20T17:29:22.19" personId="{A5EC9672-4DEE-4977-8AD7-655E14F5C846}" id="{B8606129-0ACD-4F67-ADAD-3685F902E5D5}">
    <text>https://trm.veic.org/dcseu/contents/characterizations/1132/solid-state-led-fixtures</text>
    <extLst>
      <x:ext xmlns:xltc2="http://schemas.microsoft.com/office/spreadsheetml/2020/threadedcomments2" uri="{F7C98A9C-CBB3-438F-8F68-D28B6AF4A901}">
        <xltc2:checksum>1791765721</xltc2:checksum>
        <xltc2:hyperlink startIndex="0" length="83" url="https://trm.veic.org/dcseu/contents/characterizations/1132/solid-state-led-fixtures"/>
      </x:ext>
    </extLst>
  </threadedComment>
  <threadedComment ref="A12" dT="2024-05-20T17:28:52.22" personId="{A5EC9672-4DEE-4977-8AD7-655E14F5C846}" id="{DB0FF48C-2C82-4BCF-99C0-E59706515AE5}">
    <text>https://trm.veic.org/dcseu/contents/characterizations/1123/lighting-controls</text>
    <extLst>
      <x:ext xmlns:xltc2="http://schemas.microsoft.com/office/spreadsheetml/2020/threadedcomments2" uri="{F7C98A9C-CBB3-438F-8F68-D28B6AF4A901}">
        <xltc2:checksum>2683652922</xltc2:checksum>
        <xltc2:hyperlink startIndex="0" length="76" url="https://trm.veic.org/dcseu/contents/characterizations/1123/lighting-controls"/>
      </x:ext>
    </extLs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24-05-24T16:50:08.11" personId="{4C64D6F1-9986-474F-92FB-40E423620498}" id="{01281F28-E9EF-43DA-A2EE-ED27F2350732}">
    <text xml:space="preserve">DHW pipe insulation (veic.org) </text>
    <extLst>
      <x:ext xmlns:xltc2="http://schemas.microsoft.com/office/spreadsheetml/2020/threadedcomments2" uri="{F7C98A9C-CBB3-438F-8F68-D28B6AF4A901}">
        <xltc2:checksum>3439839332</xltc2:checksum>
        <xltc2:hyperlink startIndex="0" length="30" url="https://trm.veic.org/dcseu/contents/characterizations/308/dhw-pipe-insulation#fn1030"/>
      </x:ext>
    </extLst>
  </threadedComment>
  <threadedComment ref="B6" dT="2024-05-24T16:57:17.27" personId="{4C64D6F1-9986-474F-92FB-40E423620498}" id="{1523B5E0-2A0A-4ADF-9024-B0FA26948D40}">
    <text xml:space="preserve">Tank Wrap (veic.org) </text>
    <extLst>
      <x:ext xmlns:xltc2="http://schemas.microsoft.com/office/spreadsheetml/2020/threadedcomments2" uri="{F7C98A9C-CBB3-438F-8F68-D28B6AF4A901}">
        <xltc2:checksum>4269198491</xltc2:checksum>
        <xltc2:hyperlink startIndex="0" length="20" url="https://trm.veic.org/evt/contents/characterizations/367/tank-wrap"/>
      </x:ext>
    </extLs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trm.veic.org/dcseu/contents/characterizations/1182/advanced-thermostats" TargetMode="External"/><Relationship Id="rId1" Type="http://schemas.openxmlformats.org/officeDocument/2006/relationships/hyperlink" Target="https://trm.veic.org/dcseu/contents/characterizations/1097/variable-frequency-drives-vfd"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hyperlink" Target="https://trm.veic.org/dcseu/contents/characterizations/1220/residential-heat-pump-water-heater"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trm.veic.org/dcseu/contents/characterizations/1019/low-flow-showerhead"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F9FC4-11FB-4396-80B9-AD57CF530C72}">
  <dimension ref="A1:B62"/>
  <sheetViews>
    <sheetView workbookViewId="0">
      <selection activeCell="D12" sqref="D12"/>
    </sheetView>
    <sheetView topLeftCell="A47" workbookViewId="1">
      <selection activeCell="E15" sqref="E15"/>
    </sheetView>
  </sheetViews>
  <sheetFormatPr defaultRowHeight="12.75"/>
  <cols>
    <col min="1" max="1" width="8.7109375" customWidth="1"/>
    <col min="2" max="2" width="73" style="42" customWidth="1"/>
    <col min="4" max="4" width="14.5703125" bestFit="1" customWidth="1"/>
    <col min="12" max="12" width="13.85546875" customWidth="1"/>
    <col min="16" max="16" width="13.85546875" customWidth="1"/>
  </cols>
  <sheetData>
    <row r="1" spans="1:2" ht="30">
      <c r="A1" s="11" t="s">
        <v>0</v>
      </c>
    </row>
    <row r="2" spans="1:2">
      <c r="A2" s="12" t="s">
        <v>1</v>
      </c>
    </row>
    <row r="3" spans="1:2">
      <c r="A3" s="12" t="s">
        <v>2</v>
      </c>
    </row>
    <row r="4" spans="1:2">
      <c r="A4" s="12" t="s">
        <v>3</v>
      </c>
    </row>
    <row r="5" spans="1:2">
      <c r="A5" s="12" t="s">
        <v>4</v>
      </c>
    </row>
    <row r="7" spans="1:2" ht="15">
      <c r="B7" s="13" t="s">
        <v>5</v>
      </c>
    </row>
    <row r="8" spans="1:2" ht="15">
      <c r="B8" s="32" t="s">
        <v>6</v>
      </c>
    </row>
    <row r="9" spans="1:2" ht="15">
      <c r="B9" s="33" t="s">
        <v>7</v>
      </c>
    </row>
    <row r="10" spans="1:2">
      <c r="B10" s="34" t="s">
        <v>8</v>
      </c>
    </row>
    <row r="11" spans="1:2">
      <c r="B11" s="35" t="s">
        <v>9</v>
      </c>
    </row>
    <row r="13" spans="1:2" ht="15">
      <c r="A13" s="13" t="s">
        <v>10</v>
      </c>
    </row>
    <row r="14" spans="1:2" ht="25.5">
      <c r="A14" t="s">
        <v>11</v>
      </c>
      <c r="B14" s="42" t="s">
        <v>12</v>
      </c>
    </row>
    <row r="15" spans="1:2">
      <c r="B15" s="42" t="s">
        <v>13</v>
      </c>
    </row>
    <row r="16" spans="1:2">
      <c r="B16" s="42" t="s">
        <v>14</v>
      </c>
    </row>
    <row r="17" spans="1:2" ht="38.25">
      <c r="B17" s="42" t="s">
        <v>15</v>
      </c>
    </row>
    <row r="19" spans="1:2" ht="15">
      <c r="A19" s="13" t="s">
        <v>16</v>
      </c>
    </row>
    <row r="20" spans="1:2">
      <c r="A20" t="s">
        <v>11</v>
      </c>
      <c r="B20" s="45" t="s">
        <v>17</v>
      </c>
    </row>
    <row r="21" spans="1:2">
      <c r="A21" t="s">
        <v>18</v>
      </c>
      <c r="B21" s="42" t="s">
        <v>19</v>
      </c>
    </row>
    <row r="22" spans="1:2" ht="38.25">
      <c r="A22" t="s">
        <v>20</v>
      </c>
      <c r="B22" s="45" t="s">
        <v>21</v>
      </c>
    </row>
    <row r="23" spans="1:2">
      <c r="A23" t="s">
        <v>22</v>
      </c>
      <c r="B23" s="45" t="s">
        <v>23</v>
      </c>
    </row>
    <row r="25" spans="1:2" ht="15">
      <c r="A25" s="13" t="s">
        <v>24</v>
      </c>
    </row>
    <row r="26" spans="1:2">
      <c r="A26" t="s">
        <v>11</v>
      </c>
      <c r="B26" s="42" t="s">
        <v>25</v>
      </c>
    </row>
    <row r="27" spans="1:2" ht="25.5">
      <c r="A27" s="14" t="s">
        <v>18</v>
      </c>
      <c r="B27" s="42" t="s">
        <v>26</v>
      </c>
    </row>
    <row r="29" spans="1:2" ht="15">
      <c r="A29" s="13" t="s">
        <v>27</v>
      </c>
    </row>
    <row r="30" spans="1:2" ht="25.5">
      <c r="A30" t="s">
        <v>11</v>
      </c>
      <c r="B30" s="42" t="s">
        <v>28</v>
      </c>
    </row>
    <row r="31" spans="1:2">
      <c r="B31" t="s">
        <v>29</v>
      </c>
    </row>
    <row r="32" spans="1:2">
      <c r="B32" t="s">
        <v>30</v>
      </c>
    </row>
    <row r="43" spans="1:2">
      <c r="B43" s="45" t="s">
        <v>31</v>
      </c>
    </row>
    <row r="44" spans="1:2" ht="25.5">
      <c r="B44" s="45" t="s">
        <v>32</v>
      </c>
    </row>
    <row r="46" spans="1:2" ht="25.5">
      <c r="A46" t="s">
        <v>18</v>
      </c>
      <c r="B46" s="45" t="s">
        <v>33</v>
      </c>
    </row>
    <row r="47" spans="1:2" ht="38.25">
      <c r="A47" t="s">
        <v>20</v>
      </c>
      <c r="B47" s="45" t="s">
        <v>34</v>
      </c>
    </row>
    <row r="49" spans="1:2" ht="15">
      <c r="A49" s="13" t="s">
        <v>35</v>
      </c>
    </row>
    <row r="50" spans="1:2">
      <c r="A50" t="s">
        <v>11</v>
      </c>
      <c r="B50" s="45" t="s">
        <v>36</v>
      </c>
    </row>
    <row r="51" spans="1:2">
      <c r="A51" s="14" t="s">
        <v>18</v>
      </c>
      <c r="B51" s="45" t="s">
        <v>37</v>
      </c>
    </row>
    <row r="53" spans="1:2" ht="15">
      <c r="A53" s="13" t="s">
        <v>38</v>
      </c>
    </row>
    <row r="54" spans="1:2">
      <c r="A54" t="s">
        <v>11</v>
      </c>
      <c r="B54" s="45" t="s">
        <v>39</v>
      </c>
    </row>
    <row r="55" spans="1:2">
      <c r="A55" t="s">
        <v>18</v>
      </c>
      <c r="B55" s="45" t="s">
        <v>40</v>
      </c>
    </row>
    <row r="57" spans="1:2" ht="15">
      <c r="A57" s="13" t="s">
        <v>41</v>
      </c>
    </row>
    <row r="58" spans="1:2">
      <c r="A58" t="s">
        <v>11</v>
      </c>
      <c r="B58" s="45" t="s">
        <v>42</v>
      </c>
    </row>
    <row r="60" spans="1:2" ht="15">
      <c r="A60" s="13" t="s">
        <v>43</v>
      </c>
    </row>
    <row r="61" spans="1:2" ht="25.5">
      <c r="A61" t="s">
        <v>11</v>
      </c>
      <c r="B61" s="45" t="s">
        <v>44</v>
      </c>
    </row>
    <row r="62" spans="1:2" ht="25.5">
      <c r="A62" s="14" t="s">
        <v>18</v>
      </c>
      <c r="B62" s="45" t="s">
        <v>45</v>
      </c>
    </row>
  </sheetData>
  <sheetProtection algorithmName="SHA-512" hashValue="PD2ZwlKX9jHIJwpBf9DeWDA+XeYYUGNazUwS1dBZyP3iBS+62GyBAlu2re9l16BvI0VsJO6pJHU+6Uh1y3Z9Zg==" saltValue="NxM+puWIq5YKVhDsdITPjw==" spinCount="100000" sheet="1" objects="1" scenarios="1"/>
  <phoneticPr fontId="19" type="noConversion"/>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 workbookViewId="1"/>
  </sheetViews>
  <sheetFormatPr defaultRowHeight="12.7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 workbookViewId="1"/>
  </sheetViews>
  <sheetFormatPr defaultRowHeight="12.7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 workbookViewId="1"/>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G145"/>
  <sheetViews>
    <sheetView topLeftCell="D106" zoomScaleNormal="115" workbookViewId="0">
      <selection activeCell="F119" sqref="F119"/>
    </sheetView>
    <sheetView tabSelected="1" topLeftCell="B108" workbookViewId="1">
      <selection activeCell="E113" sqref="E113"/>
    </sheetView>
  </sheetViews>
  <sheetFormatPr defaultColWidth="9.140625" defaultRowHeight="15"/>
  <cols>
    <col min="1" max="1" width="16.42578125" style="115" customWidth="1"/>
    <col min="2" max="2" width="17.7109375" style="115" customWidth="1"/>
    <col min="3" max="3" width="19.28515625" style="115" customWidth="1"/>
    <col min="4" max="4" width="14.42578125" style="115" customWidth="1"/>
    <col min="5" max="5" width="40.140625" style="139" customWidth="1"/>
    <col min="6" max="6" width="16" style="139" customWidth="1"/>
    <col min="7" max="7" width="38.85546875" style="139" customWidth="1"/>
    <col min="8" max="8" width="39.140625" style="139" customWidth="1"/>
    <col min="9" max="10" width="19.28515625" style="139" customWidth="1"/>
    <col min="11" max="11" width="19.42578125" style="139" customWidth="1"/>
    <col min="12" max="12" width="17.42578125" style="139" customWidth="1"/>
    <col min="13" max="13" width="16.85546875" style="139" customWidth="1"/>
    <col min="14" max="14" width="14.7109375" style="139" customWidth="1"/>
    <col min="15" max="15" width="39.5703125" style="139" customWidth="1"/>
    <col min="16" max="16" width="18.85546875" style="139" customWidth="1"/>
    <col min="17" max="17" width="17.28515625" style="139" customWidth="1"/>
    <col min="18" max="18" width="14.85546875" style="139" customWidth="1"/>
    <col min="19" max="19" width="12.5703125" style="139" customWidth="1"/>
    <col min="20" max="20" width="17.140625" style="139" customWidth="1"/>
    <col min="21" max="21" width="17.28515625" style="139" customWidth="1"/>
    <col min="22" max="22" width="13.5703125" style="139" customWidth="1"/>
    <col min="23" max="23" width="13.7109375" style="139" customWidth="1"/>
    <col min="24" max="24" width="11.42578125" style="139" customWidth="1"/>
    <col min="25" max="25" width="9.140625" style="139"/>
    <col min="26" max="26" width="10.42578125" style="139" customWidth="1"/>
    <col min="27" max="28" width="9.140625" style="139"/>
    <col min="29" max="29" width="10" style="139" customWidth="1"/>
    <col min="30" max="30" width="9.140625" style="139"/>
    <col min="31" max="32" width="11.140625" style="139" bestFit="1" customWidth="1"/>
    <col min="33" max="16384" width="9.140625" style="139"/>
  </cols>
  <sheetData>
    <row r="1" spans="1:32" ht="30.75" thickBot="1">
      <c r="L1" s="140" t="str">
        <f>IF(L2=0,"",IF(J2=L2,"","*Manually entered total cost does not match the calculated sum of total material and labor costs.*"))</f>
        <v/>
      </c>
      <c r="N1" s="141" t="s">
        <v>46</v>
      </c>
      <c r="O1" s="141" t="s">
        <v>47</v>
      </c>
    </row>
    <row r="2" spans="1:32" ht="48.75" customHeight="1" thickBot="1">
      <c r="H2" s="254" t="s">
        <v>48</v>
      </c>
      <c r="I2" s="253"/>
      <c r="J2" s="4"/>
      <c r="K2" s="257" t="s">
        <v>49</v>
      </c>
      <c r="L2" s="258">
        <f>SUM(N2:O2)</f>
        <v>0</v>
      </c>
      <c r="M2" s="142" t="s">
        <v>50</v>
      </c>
      <c r="N2" s="143">
        <f>SUM(SUMPRODUCT(V9:V28,T9:T28),SUMPRODUCT(N32:N36,K32:K36),SUMPRODUCT(T57:T59,L57:L59),SUMPRODUCT(AE42:AE44,Q42:Q44),PRODUCT(O51,J51),SUMPRODUCT(R65:R67,J65:J67),SUMPRODUCT(N73:N77,H73:H77),M82:M83,SUMPRODUCT(N88:N93,H88:H93),SUMPRODUCT(M99:M100,I99:I100))</f>
        <v>0</v>
      </c>
      <c r="O2" s="143">
        <f>SUM(SUMPRODUCT(W9:W28,T9:T28),SUMPRODUCT(O32:O36,K32:K36),SUMPRODUCT(U57:U59,L57:L59),SUMPRODUCT(AF42:AF44,Q42:Q44),PRODUCT(P51,J51),SUMPRODUCT(S65:S67,J65:J67),SUMPRODUCT(O73:O77,H73:H77),M82:M83,SUMPRODUCT(O88:O93,H88:H93),SUMPRODUCT(N99:N100,I99:I100))</f>
        <v>0</v>
      </c>
      <c r="T2" s="144"/>
      <c r="U2" s="144"/>
      <c r="V2" s="144"/>
      <c r="W2" s="144"/>
      <c r="X2" s="144"/>
      <c r="Y2" s="144"/>
      <c r="Z2" s="144"/>
      <c r="AA2" s="144"/>
      <c r="AB2" s="144"/>
      <c r="AC2" s="144"/>
      <c r="AD2" s="144"/>
      <c r="AE2" s="144"/>
      <c r="AF2" s="144"/>
    </row>
    <row r="3" spans="1:32" ht="31.5" customHeight="1" thickBot="1">
      <c r="H3" s="259" t="s">
        <v>51</v>
      </c>
      <c r="I3" s="253"/>
      <c r="J3" s="4"/>
      <c r="K3" s="257" t="s">
        <v>49</v>
      </c>
      <c r="T3" s="144"/>
      <c r="U3" s="144"/>
      <c r="X3" s="144"/>
      <c r="Y3" s="144"/>
      <c r="Z3" s="144"/>
      <c r="AA3" s="144"/>
      <c r="AB3" s="144"/>
      <c r="AC3" s="144"/>
      <c r="AD3" s="144"/>
      <c r="AE3" s="144"/>
      <c r="AF3" s="144"/>
    </row>
    <row r="4" spans="1:32" ht="30.75" customHeight="1" thickBot="1">
      <c r="E4" s="145" t="s">
        <v>52</v>
      </c>
      <c r="F4" s="16"/>
      <c r="H4" s="259" t="s">
        <v>53</v>
      </c>
      <c r="I4" s="253"/>
      <c r="J4" s="38"/>
      <c r="T4" s="144"/>
      <c r="U4" s="144"/>
      <c r="X4" s="144"/>
      <c r="Y4" s="144"/>
      <c r="Z4" s="144"/>
      <c r="AA4" s="144"/>
      <c r="AB4" s="144"/>
      <c r="AC4" s="144"/>
      <c r="AD4" s="144"/>
      <c r="AE4" s="144"/>
      <c r="AF4" s="144"/>
    </row>
    <row r="5" spans="1:32" ht="75.75" thickBot="1">
      <c r="E5" s="146" t="s">
        <v>54</v>
      </c>
      <c r="T5" s="144"/>
      <c r="U5" s="144"/>
      <c r="V5" s="144"/>
      <c r="W5" s="144"/>
      <c r="X5" s="144"/>
      <c r="Y5" s="144"/>
      <c r="Z5" s="144"/>
      <c r="AA5" s="144"/>
      <c r="AB5" s="144"/>
      <c r="AC5" s="144"/>
      <c r="AD5" s="144"/>
      <c r="AE5" s="144"/>
      <c r="AF5" s="144"/>
    </row>
    <row r="6" spans="1:32" ht="15.75" thickBot="1">
      <c r="E6" s="147"/>
      <c r="T6" s="144"/>
      <c r="U6" s="144"/>
      <c r="V6" s="144"/>
      <c r="W6" s="144"/>
      <c r="X6" s="144"/>
      <c r="Y6" s="144"/>
      <c r="Z6" s="144"/>
      <c r="AA6" s="144"/>
      <c r="AB6" s="144"/>
      <c r="AC6" s="144"/>
      <c r="AD6" s="144"/>
      <c r="AE6" s="144"/>
      <c r="AF6" s="144"/>
    </row>
    <row r="7" spans="1:32" ht="46.5" customHeight="1" thickBot="1">
      <c r="A7" s="116"/>
      <c r="B7" s="116"/>
      <c r="C7" s="116"/>
      <c r="E7" s="148" t="s">
        <v>55</v>
      </c>
      <c r="F7" s="260" t="s">
        <v>56</v>
      </c>
      <c r="G7" s="149" t="s">
        <v>57</v>
      </c>
      <c r="H7" s="261" t="s">
        <v>58</v>
      </c>
      <c r="I7" s="261" t="s">
        <v>59</v>
      </c>
      <c r="J7" s="150" t="s">
        <v>60</v>
      </c>
      <c r="K7" s="150" t="s">
        <v>61</v>
      </c>
      <c r="L7" s="261" t="s">
        <v>62</v>
      </c>
      <c r="M7" s="262" t="s">
        <v>63</v>
      </c>
      <c r="N7" s="263" t="s">
        <v>64</v>
      </c>
      <c r="O7" s="260" t="s">
        <v>65</v>
      </c>
      <c r="P7" s="264" t="s">
        <v>66</v>
      </c>
      <c r="Q7" s="262" t="s">
        <v>67</v>
      </c>
      <c r="R7" s="263" t="s">
        <v>68</v>
      </c>
      <c r="S7" s="150" t="s">
        <v>69</v>
      </c>
      <c r="T7" s="150" t="s">
        <v>70</v>
      </c>
      <c r="U7" s="262" t="s">
        <v>71</v>
      </c>
      <c r="V7" s="262" t="s">
        <v>72</v>
      </c>
      <c r="W7" s="262" t="s">
        <v>73</v>
      </c>
      <c r="X7" s="151" t="s">
        <v>74</v>
      </c>
    </row>
    <row r="8" spans="1:32" ht="45.75">
      <c r="A8" s="117" t="s">
        <v>75</v>
      </c>
      <c r="B8" s="118" t="s">
        <v>76</v>
      </c>
      <c r="C8" s="119" t="s">
        <v>77</v>
      </c>
      <c r="E8" s="152" t="s">
        <v>78</v>
      </c>
      <c r="G8" s="153" t="s">
        <v>79</v>
      </c>
      <c r="H8" s="154"/>
      <c r="I8" s="154"/>
      <c r="J8" s="154"/>
      <c r="K8" s="154"/>
      <c r="L8" s="154"/>
      <c r="M8" s="154"/>
      <c r="N8" s="155"/>
      <c r="O8" s="156"/>
      <c r="P8" s="157"/>
      <c r="Q8" s="154"/>
      <c r="R8" s="154"/>
      <c r="S8" s="154"/>
      <c r="T8" s="154"/>
      <c r="U8" s="154"/>
      <c r="V8" s="154"/>
      <c r="W8" s="154"/>
      <c r="X8" s="155"/>
    </row>
    <row r="9" spans="1:32">
      <c r="A9" s="265">
        <f>IFERROR(($K9-$S9)/1000*0.97*$J9*(VLOOKUP('IQEF Intake Form'!$I9,Lighting!$B$3:$E$9,4,FALSE)+VLOOKUP('IQEF Intake Form'!$I9,Lighting!$B$3:$E$9,3,FALSE)-1),0)</f>
        <v>0</v>
      </c>
      <c r="B9" s="120">
        <f>IFERROR(($K9*L9-$S9*T9)/1000*0.97*$J9*(VLOOKUP('IQEF Intake Form'!$I9,Lighting!$B$3:$E$9,4,FALSE)+VLOOKUP('IQEF Intake Form'!$I9,Lighting!$B$3:$E$9,3,FALSE)-1),0)</f>
        <v>0</v>
      </c>
      <c r="C9" s="266" t="str">
        <f t="shared" ref="C9" si="0">IFERROR(IF(A9=0,"-",A9*3412.14/10^6),"-")</f>
        <v>-</v>
      </c>
      <c r="D9" s="121"/>
      <c r="E9" s="23"/>
      <c r="F9" s="152"/>
      <c r="G9" s="267"/>
      <c r="H9" s="268" t="s">
        <v>80</v>
      </c>
      <c r="I9" s="158" t="str">
        <f>IFERROR(VLOOKUP(H9,Lighting!$A$2:$C$9, 2, FALSE),"")</f>
        <v>Choose Location First</v>
      </c>
      <c r="J9" s="36" t="str">
        <f>IFERROR(VLOOKUP(H9,Lighting!$A$2:$C$9, 3, FALSE),"")</f>
        <v>Choose Location First</v>
      </c>
      <c r="K9" s="6"/>
      <c r="L9" s="6"/>
      <c r="M9" s="26" t="s">
        <v>81</v>
      </c>
      <c r="N9" s="269"/>
      <c r="O9" s="159" t="e">
        <f t="shared" ref="O9:O28" si="1">V9/matcost*projcost</f>
        <v>#DIV/0!</v>
      </c>
      <c r="P9" s="160" t="str">
        <f t="shared" ref="P9:P28" si="2">IF(E9=0,"",E9)</f>
        <v/>
      </c>
      <c r="Q9" s="6"/>
      <c r="R9" s="270"/>
      <c r="S9" s="58"/>
      <c r="T9" s="6"/>
      <c r="U9" s="26" t="s">
        <v>80</v>
      </c>
      <c r="V9" s="271"/>
      <c r="W9" s="271"/>
      <c r="X9" s="161">
        <f>V9+W9</f>
        <v>0</v>
      </c>
    </row>
    <row r="10" spans="1:32">
      <c r="A10" s="265">
        <f>IFERROR(($K10-$S10)/1000*0.97*$J10*(VLOOKUP('IQEF Intake Form'!$I10,Lighting!$B$3:$E$9,4,FALSE)+VLOOKUP('IQEF Intake Form'!$I10,Lighting!$B$3:$E$9,3,FALSE)-1),0)</f>
        <v>0</v>
      </c>
      <c r="B10" s="120">
        <f>IFERROR(($K10*L10-$S10*T10)/1000*0.97*$J10*(VLOOKUP('IQEF Intake Form'!$I10,Lighting!$B$3:$E$9,4,FALSE)+VLOOKUP('IQEF Intake Form'!$I10,Lighting!$B$3:$E$9,3,FALSE)-1),0)</f>
        <v>0</v>
      </c>
      <c r="C10" s="266" t="str">
        <f t="shared" ref="C10:C28" si="3">IFERROR(IF(A10=0,"-",A10*3412.14/10^6),"-")</f>
        <v>-</v>
      </c>
      <c r="D10" s="121"/>
      <c r="E10" s="24"/>
      <c r="G10" s="272"/>
      <c r="H10" s="26" t="s">
        <v>80</v>
      </c>
      <c r="I10" s="158" t="str">
        <f>IFERROR(VLOOKUP(H10,Lighting!$A$2:$C$9, 2, FALSE),"")</f>
        <v>Choose Location First</v>
      </c>
      <c r="J10" s="36" t="str">
        <f>IFERROR(VLOOKUP(H10,Lighting!$A$2:$C$9, 3, FALSE),"")</f>
        <v>Choose Location First</v>
      </c>
      <c r="K10" s="6"/>
      <c r="L10" s="6"/>
      <c r="M10" s="26" t="s">
        <v>81</v>
      </c>
      <c r="N10" s="269"/>
      <c r="O10" s="162" t="e">
        <f t="shared" ref="O10:O12" si="4">V10/matcost*projcost</f>
        <v>#DIV/0!</v>
      </c>
      <c r="P10" s="163" t="str">
        <f t="shared" ref="P10:P12" si="5">IF(E10=0,"",E10)</f>
        <v/>
      </c>
      <c r="Q10" s="6"/>
      <c r="R10" s="269"/>
      <c r="S10" s="6"/>
      <c r="T10" s="6"/>
      <c r="U10" s="26" t="s">
        <v>80</v>
      </c>
      <c r="V10" s="273"/>
      <c r="W10" s="273"/>
      <c r="X10" s="164">
        <f t="shared" ref="X10:X28" si="6">V10+W10</f>
        <v>0</v>
      </c>
    </row>
    <row r="11" spans="1:32">
      <c r="A11" s="265">
        <f>IFERROR(($K11-$S11)/1000*0.97*$J11*(VLOOKUP('IQEF Intake Form'!$I11,Lighting!$B$3:$E$9,4,FALSE)+VLOOKUP('IQEF Intake Form'!$I11,Lighting!$B$3:$E$9,3,FALSE)-1),0)</f>
        <v>0</v>
      </c>
      <c r="B11" s="120">
        <f>IFERROR(($K11*L11-$S11*T11)/1000*0.97*$J11*(VLOOKUP('IQEF Intake Form'!$I11,Lighting!$B$3:$E$9,4,FALSE)+VLOOKUP('IQEF Intake Form'!$I11,Lighting!$B$3:$E$9,3,FALSE)-1),0)</f>
        <v>0</v>
      </c>
      <c r="C11" s="266" t="str">
        <f t="shared" si="3"/>
        <v>-</v>
      </c>
      <c r="D11" s="121"/>
      <c r="E11" s="24"/>
      <c r="G11" s="272"/>
      <c r="H11" s="26" t="s">
        <v>80</v>
      </c>
      <c r="I11" s="158" t="str">
        <f>IFERROR(VLOOKUP(H11,Lighting!$A$2:$C$9, 2, FALSE),"")</f>
        <v>Choose Location First</v>
      </c>
      <c r="J11" s="36" t="str">
        <f>IFERROR(VLOOKUP(H11,Lighting!$A$2:$C$9, 3, FALSE),"")</f>
        <v>Choose Location First</v>
      </c>
      <c r="K11" s="6"/>
      <c r="L11" s="6"/>
      <c r="M11" s="26" t="s">
        <v>81</v>
      </c>
      <c r="N11" s="269"/>
      <c r="O11" s="162" t="e">
        <f t="shared" si="4"/>
        <v>#DIV/0!</v>
      </c>
      <c r="P11" s="163" t="str">
        <f t="shared" si="5"/>
        <v/>
      </c>
      <c r="Q11" s="6"/>
      <c r="R11" s="269"/>
      <c r="S11" s="6"/>
      <c r="T11" s="6"/>
      <c r="U11" s="26" t="s">
        <v>80</v>
      </c>
      <c r="V11" s="273"/>
      <c r="W11" s="273"/>
      <c r="X11" s="164">
        <f t="shared" si="6"/>
        <v>0</v>
      </c>
    </row>
    <row r="12" spans="1:32">
      <c r="A12" s="265">
        <f>IFERROR(($K12-$S12)/1000*0.97*$J12*(VLOOKUP('IQEF Intake Form'!$I12,Lighting!$B$3:$E$9,4,FALSE)+VLOOKUP('IQEF Intake Form'!$I12,Lighting!$B$3:$E$9,3,FALSE)-1),0)</f>
        <v>0</v>
      </c>
      <c r="B12" s="120">
        <f>IFERROR(($K12*L12-$S12*T12)/1000*0.97*$J12*(VLOOKUP('IQEF Intake Form'!$I12,Lighting!$B$3:$E$9,4,FALSE)+VLOOKUP('IQEF Intake Form'!$I12,Lighting!$B$3:$E$9,3,FALSE)-1),0)</f>
        <v>0</v>
      </c>
      <c r="C12" s="266" t="str">
        <f t="shared" si="3"/>
        <v>-</v>
      </c>
      <c r="D12" s="121"/>
      <c r="E12" s="24"/>
      <c r="G12" s="272"/>
      <c r="H12" s="26" t="s">
        <v>80</v>
      </c>
      <c r="I12" s="158" t="str">
        <f>IFERROR(VLOOKUP(H12,Lighting!$A$2:$C$9, 2, FALSE),"")</f>
        <v>Choose Location First</v>
      </c>
      <c r="J12" s="36" t="str">
        <f>IFERROR(VLOOKUP(H12,Lighting!$A$2:$C$9, 3, FALSE),"")</f>
        <v>Choose Location First</v>
      </c>
      <c r="K12" s="6"/>
      <c r="L12" s="6"/>
      <c r="M12" s="26" t="s">
        <v>81</v>
      </c>
      <c r="N12" s="269"/>
      <c r="O12" s="162" t="e">
        <f t="shared" si="4"/>
        <v>#DIV/0!</v>
      </c>
      <c r="P12" s="163" t="str">
        <f t="shared" si="5"/>
        <v/>
      </c>
      <c r="Q12" s="6"/>
      <c r="R12" s="269"/>
      <c r="S12" s="6"/>
      <c r="T12" s="6"/>
      <c r="U12" s="26" t="s">
        <v>80</v>
      </c>
      <c r="V12" s="273"/>
      <c r="W12" s="273"/>
      <c r="X12" s="164">
        <f t="shared" si="6"/>
        <v>0</v>
      </c>
    </row>
    <row r="13" spans="1:32">
      <c r="A13" s="265">
        <f>IFERROR(($K13-$S13)/1000*0.97*$J13*(VLOOKUP('IQEF Intake Form'!$I13,Lighting!$B$3:$E$9,4,FALSE)+VLOOKUP('IQEF Intake Form'!$I13,Lighting!$B$3:$E$9,3,FALSE)-1),0)</f>
        <v>0</v>
      </c>
      <c r="B13" s="120">
        <f>IFERROR(($K13*L13-$S13*T13)/1000*0.97*$J13*(VLOOKUP('IQEF Intake Form'!$I13,Lighting!$B$3:$E$9,4,FALSE)+VLOOKUP('IQEF Intake Form'!$I13,Lighting!$B$3:$E$9,3,FALSE)-1),0)</f>
        <v>0</v>
      </c>
      <c r="C13" s="266" t="str">
        <f t="shared" si="3"/>
        <v>-</v>
      </c>
      <c r="D13" s="121"/>
      <c r="E13" s="24"/>
      <c r="G13" s="272"/>
      <c r="H13" s="26" t="s">
        <v>80</v>
      </c>
      <c r="I13" s="158" t="str">
        <f>IFERROR(VLOOKUP(H13,Lighting!$A$2:$C$9, 2, FALSE),"")</f>
        <v>Choose Location First</v>
      </c>
      <c r="J13" s="36" t="str">
        <f>IFERROR(VLOOKUP(H13,Lighting!$A$2:$C$9, 3, FALSE),"")</f>
        <v>Choose Location First</v>
      </c>
      <c r="K13" s="6"/>
      <c r="L13" s="6"/>
      <c r="M13" s="26" t="s">
        <v>81</v>
      </c>
      <c r="N13" s="269"/>
      <c r="O13" s="162" t="e">
        <f t="shared" ref="O13:O14" si="7">V13/matcost*projcost</f>
        <v>#DIV/0!</v>
      </c>
      <c r="P13" s="163" t="str">
        <f t="shared" ref="P13:P14" si="8">IF(E13=0,"",E13)</f>
        <v/>
      </c>
      <c r="Q13" s="6"/>
      <c r="R13" s="269"/>
      <c r="S13" s="6"/>
      <c r="T13" s="6"/>
      <c r="U13" s="26" t="s">
        <v>80</v>
      </c>
      <c r="V13" s="273"/>
      <c r="W13" s="273"/>
      <c r="X13" s="164">
        <f t="shared" si="6"/>
        <v>0</v>
      </c>
    </row>
    <row r="14" spans="1:32">
      <c r="A14" s="265">
        <f>IFERROR(($K14-$S14)/1000*0.97*$J14*(VLOOKUP('IQEF Intake Form'!$I14,Lighting!$B$3:$E$9,4,FALSE)+VLOOKUP('IQEF Intake Form'!$I14,Lighting!$B$3:$E$9,3,FALSE)-1),0)</f>
        <v>0</v>
      </c>
      <c r="B14" s="120">
        <f>IFERROR(($K14*L14-$S14*T14)/1000*0.97*$J14*(VLOOKUP('IQEF Intake Form'!$I14,Lighting!$B$3:$E$9,4,FALSE)+VLOOKUP('IQEF Intake Form'!$I14,Lighting!$B$3:$E$9,3,FALSE)-1),0)</f>
        <v>0</v>
      </c>
      <c r="C14" s="266" t="str">
        <f t="shared" si="3"/>
        <v>-</v>
      </c>
      <c r="D14" s="121"/>
      <c r="E14" s="24"/>
      <c r="G14" s="272"/>
      <c r="H14" s="26" t="s">
        <v>80</v>
      </c>
      <c r="I14" s="158" t="str">
        <f>IFERROR(VLOOKUP(H14,Lighting!$A$2:$C$9, 2, FALSE),"")</f>
        <v>Choose Location First</v>
      </c>
      <c r="J14" s="36" t="str">
        <f>IFERROR(VLOOKUP(H14,Lighting!$A$2:$C$9, 3, FALSE),"")</f>
        <v>Choose Location First</v>
      </c>
      <c r="K14" s="6"/>
      <c r="L14" s="6"/>
      <c r="M14" s="26" t="s">
        <v>81</v>
      </c>
      <c r="N14" s="269"/>
      <c r="O14" s="162" t="e">
        <f t="shared" si="7"/>
        <v>#DIV/0!</v>
      </c>
      <c r="P14" s="163" t="str">
        <f t="shared" si="8"/>
        <v/>
      </c>
      <c r="Q14" s="6"/>
      <c r="R14" s="269"/>
      <c r="S14" s="6"/>
      <c r="T14" s="6"/>
      <c r="U14" s="26" t="s">
        <v>80</v>
      </c>
      <c r="V14" s="273"/>
      <c r="W14" s="273"/>
      <c r="X14" s="164">
        <f t="shared" si="6"/>
        <v>0</v>
      </c>
    </row>
    <row r="15" spans="1:32">
      <c r="A15" s="265">
        <f>IFERROR(($K15-$S15)/1000*0.97*$J15*(VLOOKUP('IQEF Intake Form'!$I15,Lighting!$B$3:$E$9,4,FALSE)+VLOOKUP('IQEF Intake Form'!$I15,Lighting!$B$3:$E$9,3,FALSE)-1),0)</f>
        <v>0</v>
      </c>
      <c r="B15" s="120">
        <f>IFERROR(($K15*L15-$S15*T15)/1000*0.97*$J15*(VLOOKUP('IQEF Intake Form'!$I15,Lighting!$B$3:$E$9,4,FALSE)+VLOOKUP('IQEF Intake Form'!$I15,Lighting!$B$3:$E$9,3,FALSE)-1),0)</f>
        <v>0</v>
      </c>
      <c r="C15" s="266" t="str">
        <f t="shared" si="3"/>
        <v>-</v>
      </c>
      <c r="D15" s="121"/>
      <c r="E15" s="24"/>
      <c r="G15" s="272"/>
      <c r="H15" s="26" t="s">
        <v>80</v>
      </c>
      <c r="I15" s="158" t="str">
        <f>IFERROR(VLOOKUP(H15,Lighting!$A$2:$C$9, 2, FALSE),"")</f>
        <v>Choose Location First</v>
      </c>
      <c r="J15" s="36" t="str">
        <f>IFERROR(VLOOKUP(H15,Lighting!$A$2:$C$9, 3, FALSE),"")</f>
        <v>Choose Location First</v>
      </c>
      <c r="K15" s="6"/>
      <c r="L15" s="6"/>
      <c r="M15" s="26" t="s">
        <v>81</v>
      </c>
      <c r="N15" s="6"/>
      <c r="O15" s="162" t="e">
        <f t="shared" si="1"/>
        <v>#DIV/0!</v>
      </c>
      <c r="P15" s="163" t="str">
        <f t="shared" si="2"/>
        <v/>
      </c>
      <c r="Q15" s="269"/>
      <c r="R15" s="269"/>
      <c r="S15" s="6"/>
      <c r="T15" s="6"/>
      <c r="U15" s="26" t="s">
        <v>80</v>
      </c>
      <c r="V15" s="273"/>
      <c r="W15" s="273"/>
      <c r="X15" s="164">
        <f t="shared" si="6"/>
        <v>0</v>
      </c>
    </row>
    <row r="16" spans="1:32">
      <c r="A16" s="265">
        <f>IFERROR(($K16-$S16)/1000*0.97*$J16*(VLOOKUP('IQEF Intake Form'!$I16,Lighting!$B$3:$E$9,4,FALSE)+VLOOKUP('IQEF Intake Form'!$I16,Lighting!$B$3:$E$9,3,FALSE)-1),0)</f>
        <v>0</v>
      </c>
      <c r="B16" s="120">
        <f>IFERROR(($K16*L16-$S16*T16)/1000*0.97*$J16*(VLOOKUP('IQEF Intake Form'!$I16,Lighting!$B$3:$E$9,4,FALSE)+VLOOKUP('IQEF Intake Form'!$I16,Lighting!$B$3:$E$9,3,FALSE)-1),0)</f>
        <v>0</v>
      </c>
      <c r="C16" s="266" t="str">
        <f t="shared" si="3"/>
        <v>-</v>
      </c>
      <c r="D16" s="121"/>
      <c r="E16" s="24"/>
      <c r="G16" s="272"/>
      <c r="H16" s="26" t="s">
        <v>80</v>
      </c>
      <c r="I16" s="158" t="str">
        <f>IFERROR(VLOOKUP(H16,Lighting!$A$2:$C$9, 2, FALSE),"")</f>
        <v>Choose Location First</v>
      </c>
      <c r="J16" s="36" t="str">
        <f>IFERROR(VLOOKUP(H16,Lighting!$A$2:$C$9, 3, FALSE),"")</f>
        <v>Choose Location First</v>
      </c>
      <c r="K16" s="6"/>
      <c r="L16" s="6"/>
      <c r="M16" s="26" t="s">
        <v>81</v>
      </c>
      <c r="N16" s="6"/>
      <c r="O16" s="162" t="e">
        <f t="shared" si="1"/>
        <v>#DIV/0!</v>
      </c>
      <c r="P16" s="163" t="str">
        <f t="shared" si="2"/>
        <v/>
      </c>
      <c r="Q16" s="269"/>
      <c r="R16" s="269"/>
      <c r="S16" s="6"/>
      <c r="T16" s="6"/>
      <c r="U16" s="26" t="s">
        <v>80</v>
      </c>
      <c r="V16" s="273"/>
      <c r="W16" s="273"/>
      <c r="X16" s="164">
        <f t="shared" si="6"/>
        <v>0</v>
      </c>
    </row>
    <row r="17" spans="1:24">
      <c r="A17" s="265">
        <f>IFERROR(($K17-$S17)/1000*0.97*$J17*(VLOOKUP('IQEF Intake Form'!$I17,Lighting!$B$3:$E$9,4,FALSE)+VLOOKUP('IQEF Intake Form'!$I17,Lighting!$B$3:$E$9,3,FALSE)-1),0)</f>
        <v>0</v>
      </c>
      <c r="B17" s="120">
        <f>IFERROR(($K17*L17-$S17*T17)/1000*0.97*$J17*(VLOOKUP('IQEF Intake Form'!$I17,Lighting!$B$3:$E$9,4,FALSE)+VLOOKUP('IQEF Intake Form'!$I17,Lighting!$B$3:$E$9,3,FALSE)-1),0)</f>
        <v>0</v>
      </c>
      <c r="C17" s="266" t="str">
        <f t="shared" si="3"/>
        <v>-</v>
      </c>
      <c r="D17" s="121"/>
      <c r="E17" s="24"/>
      <c r="G17" s="272"/>
      <c r="H17" s="26" t="s">
        <v>80</v>
      </c>
      <c r="I17" s="158" t="str">
        <f>IFERROR(VLOOKUP(H17,Lighting!$A$2:$C$9, 2, FALSE),"")</f>
        <v>Choose Location First</v>
      </c>
      <c r="J17" s="36" t="str">
        <f>IFERROR(VLOOKUP(H17,Lighting!$A$2:$C$9, 3, FALSE),"")</f>
        <v>Choose Location First</v>
      </c>
      <c r="K17" s="6"/>
      <c r="L17" s="6"/>
      <c r="M17" s="26" t="s">
        <v>81</v>
      </c>
      <c r="N17" s="6"/>
      <c r="O17" s="162" t="e">
        <f t="shared" si="1"/>
        <v>#DIV/0!</v>
      </c>
      <c r="P17" s="163" t="str">
        <f t="shared" si="2"/>
        <v/>
      </c>
      <c r="Q17" s="269"/>
      <c r="R17" s="269"/>
      <c r="S17" s="6"/>
      <c r="T17" s="6"/>
      <c r="U17" s="26" t="s">
        <v>80</v>
      </c>
      <c r="V17" s="273"/>
      <c r="W17" s="273"/>
      <c r="X17" s="164">
        <f t="shared" si="6"/>
        <v>0</v>
      </c>
    </row>
    <row r="18" spans="1:24">
      <c r="A18" s="265">
        <f>IFERROR(($K18-$S18)/1000*0.97*$J18*(VLOOKUP('IQEF Intake Form'!$I18,Lighting!$B$3:$E$9,4,FALSE)+VLOOKUP('IQEF Intake Form'!$I18,Lighting!$B$3:$E$9,3,FALSE)-1),0)</f>
        <v>0</v>
      </c>
      <c r="B18" s="120">
        <f>IFERROR(($K18*L18-$S18*T18)/1000*0.97*$J18*(VLOOKUP('IQEF Intake Form'!$I18,Lighting!$B$3:$E$9,4,FALSE)+VLOOKUP('IQEF Intake Form'!$I18,Lighting!$B$3:$E$9,3,FALSE)-1),0)</f>
        <v>0</v>
      </c>
      <c r="C18" s="266" t="str">
        <f t="shared" si="3"/>
        <v>-</v>
      </c>
      <c r="D18" s="121"/>
      <c r="E18" s="24"/>
      <c r="G18" s="272"/>
      <c r="H18" s="26" t="s">
        <v>80</v>
      </c>
      <c r="I18" s="158" t="str">
        <f>IFERROR(VLOOKUP(H18,Lighting!$A$2:$C$9, 2, FALSE),"")</f>
        <v>Choose Location First</v>
      </c>
      <c r="J18" s="36" t="str">
        <f>IFERROR(VLOOKUP(H18,Lighting!$A$2:$C$9, 3, FALSE),"")</f>
        <v>Choose Location First</v>
      </c>
      <c r="K18" s="6"/>
      <c r="L18" s="6"/>
      <c r="M18" s="26" t="s">
        <v>81</v>
      </c>
      <c r="N18" s="6"/>
      <c r="O18" s="162" t="e">
        <f t="shared" si="1"/>
        <v>#DIV/0!</v>
      </c>
      <c r="P18" s="163" t="str">
        <f t="shared" si="2"/>
        <v/>
      </c>
      <c r="Q18" s="269"/>
      <c r="R18" s="269"/>
      <c r="S18" s="6"/>
      <c r="T18" s="6"/>
      <c r="U18" s="26" t="s">
        <v>80</v>
      </c>
      <c r="V18" s="273"/>
      <c r="W18" s="273"/>
      <c r="X18" s="164">
        <f t="shared" si="6"/>
        <v>0</v>
      </c>
    </row>
    <row r="19" spans="1:24">
      <c r="A19" s="265">
        <f>IFERROR(($K19-$S19)/1000*0.97*$J19*(VLOOKUP('IQEF Intake Form'!$I19,Lighting!$B$3:$E$9,4,FALSE)+VLOOKUP('IQEF Intake Form'!$I19,Lighting!$B$3:$E$9,3,FALSE)-1),0)</f>
        <v>0</v>
      </c>
      <c r="B19" s="120">
        <f>IFERROR(($K19*L19-$S19*T19)/1000*0.97*$J19*(VLOOKUP('IQEF Intake Form'!$I19,Lighting!$B$3:$E$9,4,FALSE)+VLOOKUP('IQEF Intake Form'!$I19,Lighting!$B$3:$E$9,3,FALSE)-1),0)</f>
        <v>0</v>
      </c>
      <c r="C19" s="266" t="str">
        <f t="shared" si="3"/>
        <v>-</v>
      </c>
      <c r="D19" s="121"/>
      <c r="E19" s="24"/>
      <c r="G19" s="272"/>
      <c r="H19" s="26" t="s">
        <v>80</v>
      </c>
      <c r="I19" s="158" t="str">
        <f>IFERROR(VLOOKUP(H19,Lighting!$A$2:$C$9, 2, FALSE),"")</f>
        <v>Choose Location First</v>
      </c>
      <c r="J19" s="36" t="str">
        <f>IFERROR(VLOOKUP(H19,Lighting!$A$2:$C$9, 3, FALSE),"")</f>
        <v>Choose Location First</v>
      </c>
      <c r="K19" s="6"/>
      <c r="L19" s="6"/>
      <c r="M19" s="26" t="s">
        <v>81</v>
      </c>
      <c r="N19" s="6"/>
      <c r="O19" s="162" t="e">
        <f t="shared" si="1"/>
        <v>#DIV/0!</v>
      </c>
      <c r="P19" s="163" t="str">
        <f t="shared" si="2"/>
        <v/>
      </c>
      <c r="Q19" s="269"/>
      <c r="R19" s="269"/>
      <c r="S19" s="6"/>
      <c r="T19" s="6"/>
      <c r="U19" s="26" t="s">
        <v>80</v>
      </c>
      <c r="V19" s="273"/>
      <c r="W19" s="273"/>
      <c r="X19" s="164">
        <f t="shared" si="6"/>
        <v>0</v>
      </c>
    </row>
    <row r="20" spans="1:24">
      <c r="A20" s="265">
        <f>IFERROR(($K20-$S20)/1000*0.97*$J20*(VLOOKUP('IQEF Intake Form'!$I20,Lighting!$B$3:$E$9,4,FALSE)+VLOOKUP('IQEF Intake Form'!$I20,Lighting!$B$3:$E$9,3,FALSE)-1),0)</f>
        <v>0</v>
      </c>
      <c r="B20" s="120">
        <f>IFERROR(($K20*L20-$S20*T20)/1000*0.97*$J20*(VLOOKUP('IQEF Intake Form'!$I20,Lighting!$B$3:$E$9,4,FALSE)+VLOOKUP('IQEF Intake Form'!$I20,Lighting!$B$3:$E$9,3,FALSE)-1),0)</f>
        <v>0</v>
      </c>
      <c r="C20" s="266" t="str">
        <f t="shared" si="3"/>
        <v>-</v>
      </c>
      <c r="D20" s="121"/>
      <c r="E20" s="24"/>
      <c r="G20" s="272"/>
      <c r="H20" s="26" t="s">
        <v>80</v>
      </c>
      <c r="I20" s="158" t="str">
        <f>IFERROR(VLOOKUP(H20,Lighting!$A$2:$C$9, 2, FALSE),"")</f>
        <v>Choose Location First</v>
      </c>
      <c r="J20" s="36" t="str">
        <f>IFERROR(VLOOKUP(H20,Lighting!$A$2:$C$9, 3, FALSE),"")</f>
        <v>Choose Location First</v>
      </c>
      <c r="K20" s="6"/>
      <c r="L20" s="6"/>
      <c r="M20" s="26" t="s">
        <v>81</v>
      </c>
      <c r="N20" s="6"/>
      <c r="O20" s="162" t="e">
        <f t="shared" si="1"/>
        <v>#DIV/0!</v>
      </c>
      <c r="P20" s="163" t="str">
        <f t="shared" si="2"/>
        <v/>
      </c>
      <c r="Q20" s="269"/>
      <c r="R20" s="269"/>
      <c r="S20" s="6"/>
      <c r="T20" s="6"/>
      <c r="U20" s="26" t="s">
        <v>80</v>
      </c>
      <c r="V20" s="273"/>
      <c r="W20" s="273"/>
      <c r="X20" s="164">
        <f t="shared" si="6"/>
        <v>0</v>
      </c>
    </row>
    <row r="21" spans="1:24">
      <c r="A21" s="265">
        <f>IFERROR(($K21-$S21)/1000*0.97*$J21*(VLOOKUP('IQEF Intake Form'!$I21,Lighting!$B$3:$E$9,4,FALSE)+VLOOKUP('IQEF Intake Form'!$I21,Lighting!$B$3:$E$9,3,FALSE)-1),0)</f>
        <v>0</v>
      </c>
      <c r="B21" s="120">
        <f>IFERROR(($K21*L21-$S21*T21)/1000*0.97*$J21*(VLOOKUP('IQEF Intake Form'!$I21,Lighting!$B$3:$E$9,4,FALSE)+VLOOKUP('IQEF Intake Form'!$I21,Lighting!$B$3:$E$9,3,FALSE)-1),0)</f>
        <v>0</v>
      </c>
      <c r="C21" s="266" t="str">
        <f t="shared" si="3"/>
        <v>-</v>
      </c>
      <c r="D21" s="121"/>
      <c r="E21" s="24"/>
      <c r="G21" s="272"/>
      <c r="H21" s="26" t="s">
        <v>80</v>
      </c>
      <c r="I21" s="158" t="str">
        <f>IFERROR(VLOOKUP(H21,Lighting!$A$2:$C$9, 2, FALSE),"")</f>
        <v>Choose Location First</v>
      </c>
      <c r="J21" s="36" t="str">
        <f>IFERROR(VLOOKUP(H21,Lighting!$A$2:$C$9, 3, FALSE),"")</f>
        <v>Choose Location First</v>
      </c>
      <c r="K21" s="6"/>
      <c r="L21" s="6"/>
      <c r="M21" s="26" t="s">
        <v>81</v>
      </c>
      <c r="N21" s="6"/>
      <c r="O21" s="162" t="e">
        <f t="shared" si="1"/>
        <v>#DIV/0!</v>
      </c>
      <c r="P21" s="163" t="str">
        <f t="shared" si="2"/>
        <v/>
      </c>
      <c r="Q21" s="269"/>
      <c r="R21" s="269"/>
      <c r="S21" s="6"/>
      <c r="T21" s="6"/>
      <c r="U21" s="26" t="s">
        <v>80</v>
      </c>
      <c r="V21" s="273"/>
      <c r="W21" s="273"/>
      <c r="X21" s="164">
        <f t="shared" si="6"/>
        <v>0</v>
      </c>
    </row>
    <row r="22" spans="1:24">
      <c r="A22" s="265">
        <f>IFERROR(($K22-$S22)/1000*0.97*$J22*(VLOOKUP('IQEF Intake Form'!$I22,Lighting!$B$3:$E$9,4,FALSE)+VLOOKUP('IQEF Intake Form'!$I22,Lighting!$B$3:$E$9,3,FALSE)-1),0)</f>
        <v>0</v>
      </c>
      <c r="B22" s="120">
        <f>IFERROR(($K22*L22-$S22*T22)/1000*0.97*$J22*(VLOOKUP('IQEF Intake Form'!$I22,Lighting!$B$3:$E$9,4,FALSE)+VLOOKUP('IQEF Intake Form'!$I22,Lighting!$B$3:$E$9,3,FALSE)-1),0)</f>
        <v>0</v>
      </c>
      <c r="C22" s="266" t="str">
        <f t="shared" si="3"/>
        <v>-</v>
      </c>
      <c r="D22" s="121"/>
      <c r="E22" s="24"/>
      <c r="G22" s="272"/>
      <c r="H22" s="26" t="s">
        <v>80</v>
      </c>
      <c r="I22" s="158" t="str">
        <f>IFERROR(VLOOKUP(H22,Lighting!$A$2:$C$9, 2, FALSE),"")</f>
        <v>Choose Location First</v>
      </c>
      <c r="J22" s="36" t="str">
        <f>IFERROR(VLOOKUP(H22,Lighting!$A$2:$C$9, 3, FALSE),"")</f>
        <v>Choose Location First</v>
      </c>
      <c r="K22" s="6"/>
      <c r="L22" s="6"/>
      <c r="M22" s="26" t="s">
        <v>81</v>
      </c>
      <c r="N22" s="6"/>
      <c r="O22" s="162" t="e">
        <f t="shared" si="1"/>
        <v>#DIV/0!</v>
      </c>
      <c r="P22" s="163" t="str">
        <f t="shared" si="2"/>
        <v/>
      </c>
      <c r="Q22" s="269"/>
      <c r="R22" s="269"/>
      <c r="S22" s="6"/>
      <c r="T22" s="6"/>
      <c r="U22" s="26" t="s">
        <v>80</v>
      </c>
      <c r="V22" s="273"/>
      <c r="W22" s="273"/>
      <c r="X22" s="164">
        <f t="shared" si="6"/>
        <v>0</v>
      </c>
    </row>
    <row r="23" spans="1:24">
      <c r="A23" s="265">
        <f>IFERROR(($K23-$S23)/1000*0.97*$J23*(VLOOKUP('IQEF Intake Form'!$I23,Lighting!$B$3:$E$9,4,FALSE)+VLOOKUP('IQEF Intake Form'!$I23,Lighting!$B$3:$E$9,3,FALSE)-1),0)</f>
        <v>0</v>
      </c>
      <c r="B23" s="120">
        <f>IFERROR(($K23*L23-$S23*T23)/1000*0.97*$J23*(VLOOKUP('IQEF Intake Form'!$I23,Lighting!$B$3:$E$9,4,FALSE)+VLOOKUP('IQEF Intake Form'!$I23,Lighting!$B$3:$E$9,3,FALSE)-1),0)</f>
        <v>0</v>
      </c>
      <c r="C23" s="266" t="str">
        <f t="shared" si="3"/>
        <v>-</v>
      </c>
      <c r="D23" s="121"/>
      <c r="E23" s="24"/>
      <c r="G23" s="272"/>
      <c r="H23" s="26" t="s">
        <v>80</v>
      </c>
      <c r="I23" s="158" t="str">
        <f>IFERROR(VLOOKUP(H23,Lighting!$A$2:$C$9, 2, FALSE),"")</f>
        <v>Choose Location First</v>
      </c>
      <c r="J23" s="36" t="str">
        <f>IFERROR(VLOOKUP(H23,Lighting!$A$2:$C$9, 3, FALSE),"")</f>
        <v>Choose Location First</v>
      </c>
      <c r="K23" s="6"/>
      <c r="L23" s="6"/>
      <c r="M23" s="26" t="s">
        <v>81</v>
      </c>
      <c r="N23" s="6"/>
      <c r="O23" s="162" t="e">
        <f t="shared" si="1"/>
        <v>#DIV/0!</v>
      </c>
      <c r="P23" s="163" t="str">
        <f t="shared" si="2"/>
        <v/>
      </c>
      <c r="Q23" s="269"/>
      <c r="R23" s="269"/>
      <c r="S23" s="6"/>
      <c r="T23" s="6"/>
      <c r="U23" s="26" t="s">
        <v>80</v>
      </c>
      <c r="V23" s="273"/>
      <c r="W23" s="273"/>
      <c r="X23" s="164">
        <f t="shared" si="6"/>
        <v>0</v>
      </c>
    </row>
    <row r="24" spans="1:24">
      <c r="A24" s="265">
        <f>IFERROR(($K24-$S24)/1000*0.97*$J24*(VLOOKUP('IQEF Intake Form'!$I24,Lighting!$B$3:$E$9,4,FALSE)+VLOOKUP('IQEF Intake Form'!$I24,Lighting!$B$3:$E$9,3,FALSE)-1),0)</f>
        <v>0</v>
      </c>
      <c r="B24" s="120">
        <f>IFERROR(($K24*L24-$S24*T24)/1000*0.97*$J24*(VLOOKUP('IQEF Intake Form'!$I24,Lighting!$B$3:$E$9,4,FALSE)+VLOOKUP('IQEF Intake Form'!$I24,Lighting!$B$3:$E$9,3,FALSE)-1),0)</f>
        <v>0</v>
      </c>
      <c r="C24" s="266" t="str">
        <f t="shared" si="3"/>
        <v>-</v>
      </c>
      <c r="D24" s="121"/>
      <c r="E24" s="24"/>
      <c r="G24" s="272"/>
      <c r="H24" s="26" t="s">
        <v>80</v>
      </c>
      <c r="I24" s="158" t="str">
        <f>IFERROR(VLOOKUP(H24,Lighting!$A$2:$C$9, 2, FALSE),"")</f>
        <v>Choose Location First</v>
      </c>
      <c r="J24" s="36" t="str">
        <f>IFERROR(VLOOKUP(H24,Lighting!$A$2:$C$9, 3, FALSE),"")</f>
        <v>Choose Location First</v>
      </c>
      <c r="K24" s="6"/>
      <c r="L24" s="6"/>
      <c r="M24" s="26" t="s">
        <v>81</v>
      </c>
      <c r="N24" s="6"/>
      <c r="O24" s="162" t="e">
        <f t="shared" si="1"/>
        <v>#DIV/0!</v>
      </c>
      <c r="P24" s="163" t="str">
        <f t="shared" si="2"/>
        <v/>
      </c>
      <c r="Q24" s="269"/>
      <c r="R24" s="269"/>
      <c r="S24" s="6"/>
      <c r="T24" s="6"/>
      <c r="U24" s="26" t="s">
        <v>80</v>
      </c>
      <c r="V24" s="273"/>
      <c r="W24" s="273"/>
      <c r="X24" s="164">
        <f t="shared" si="6"/>
        <v>0</v>
      </c>
    </row>
    <row r="25" spans="1:24">
      <c r="A25" s="265">
        <f>IFERROR(($K25-$S25)/1000*0.97*$J25*(VLOOKUP('IQEF Intake Form'!$I25,Lighting!$B$3:$E$9,4,FALSE)+VLOOKUP('IQEF Intake Form'!$I25,Lighting!$B$3:$E$9,3,FALSE)-1),0)</f>
        <v>0</v>
      </c>
      <c r="B25" s="120">
        <f>IFERROR(($K25*L25-$S25*T25)/1000*0.97*$J25*(VLOOKUP('IQEF Intake Form'!$I25,Lighting!$B$3:$E$9,4,FALSE)+VLOOKUP('IQEF Intake Form'!$I25,Lighting!$B$3:$E$9,3,FALSE)-1),0)</f>
        <v>0</v>
      </c>
      <c r="C25" s="266" t="str">
        <f t="shared" si="3"/>
        <v>-</v>
      </c>
      <c r="D25" s="121"/>
      <c r="E25" s="24"/>
      <c r="G25" s="272"/>
      <c r="H25" s="26" t="s">
        <v>80</v>
      </c>
      <c r="I25" s="158" t="str">
        <f>IFERROR(VLOOKUP(H25,Lighting!$A$2:$C$9, 2, FALSE),"")</f>
        <v>Choose Location First</v>
      </c>
      <c r="J25" s="36" t="str">
        <f>IFERROR(VLOOKUP(H25,Lighting!$A$2:$C$9, 3, FALSE),"")</f>
        <v>Choose Location First</v>
      </c>
      <c r="K25" s="6"/>
      <c r="L25" s="6"/>
      <c r="M25" s="26" t="s">
        <v>81</v>
      </c>
      <c r="N25" s="6"/>
      <c r="O25" s="162" t="e">
        <f t="shared" si="1"/>
        <v>#DIV/0!</v>
      </c>
      <c r="P25" s="163" t="str">
        <f t="shared" si="2"/>
        <v/>
      </c>
      <c r="Q25" s="269"/>
      <c r="R25" s="269"/>
      <c r="S25" s="6"/>
      <c r="T25" s="6"/>
      <c r="U25" s="26" t="s">
        <v>80</v>
      </c>
      <c r="V25" s="273"/>
      <c r="W25" s="273"/>
      <c r="X25" s="164">
        <f t="shared" si="6"/>
        <v>0</v>
      </c>
    </row>
    <row r="26" spans="1:24">
      <c r="A26" s="265">
        <f>IFERROR(($K26-$S26)/1000*0.97*$J26*(VLOOKUP('IQEF Intake Form'!$I26,Lighting!$B$3:$E$9,4,FALSE)+VLOOKUP('IQEF Intake Form'!$I26,Lighting!$B$3:$E$9,3,FALSE)-1),0)</f>
        <v>0</v>
      </c>
      <c r="B26" s="120">
        <f>IFERROR(($K26*L26-$S26*T26)/1000*0.97*$J26*(VLOOKUP('IQEF Intake Form'!$I26,Lighting!$B$3:$E$9,4,FALSE)+VLOOKUP('IQEF Intake Form'!$I26,Lighting!$B$3:$E$9,3,FALSE)-1),0)</f>
        <v>0</v>
      </c>
      <c r="C26" s="266" t="str">
        <f t="shared" si="3"/>
        <v>-</v>
      </c>
      <c r="D26" s="121"/>
      <c r="E26" s="24"/>
      <c r="G26" s="272"/>
      <c r="H26" s="26" t="s">
        <v>80</v>
      </c>
      <c r="I26" s="158" t="str">
        <f>IFERROR(VLOOKUP(H26,Lighting!$A$2:$C$9, 2, FALSE),"")</f>
        <v>Choose Location First</v>
      </c>
      <c r="J26" s="36" t="str">
        <f>IFERROR(VLOOKUP(H26,Lighting!$A$2:$C$9, 3, FALSE),"")</f>
        <v>Choose Location First</v>
      </c>
      <c r="K26" s="6"/>
      <c r="L26" s="6"/>
      <c r="M26" s="26" t="s">
        <v>81</v>
      </c>
      <c r="N26" s="6"/>
      <c r="O26" s="162" t="e">
        <f t="shared" si="1"/>
        <v>#DIV/0!</v>
      </c>
      <c r="P26" s="163" t="str">
        <f t="shared" si="2"/>
        <v/>
      </c>
      <c r="Q26" s="269"/>
      <c r="R26" s="269"/>
      <c r="S26" s="6"/>
      <c r="T26" s="6"/>
      <c r="U26" s="26" t="s">
        <v>80</v>
      </c>
      <c r="V26" s="273"/>
      <c r="W26" s="273"/>
      <c r="X26" s="164">
        <f t="shared" si="6"/>
        <v>0</v>
      </c>
    </row>
    <row r="27" spans="1:24">
      <c r="A27" s="265">
        <f>IFERROR(($K27-$S27)/1000*0.97*$J27*(VLOOKUP('IQEF Intake Form'!$I27,Lighting!$B$3:$E$9,4,FALSE)+VLOOKUP('IQEF Intake Form'!$I27,Lighting!$B$3:$E$9,3,FALSE)-1),0)</f>
        <v>0</v>
      </c>
      <c r="B27" s="120">
        <f>IFERROR(($K27*L27-$S27*T27)/1000*0.97*$J27*(VLOOKUP('IQEF Intake Form'!$I27,Lighting!$B$3:$E$9,4,FALSE)+VLOOKUP('IQEF Intake Form'!$I27,Lighting!$B$3:$E$9,3,FALSE)-1),0)</f>
        <v>0</v>
      </c>
      <c r="C27" s="266" t="str">
        <f t="shared" si="3"/>
        <v>-</v>
      </c>
      <c r="D27" s="121"/>
      <c r="E27" s="24"/>
      <c r="G27" s="272"/>
      <c r="H27" s="26" t="s">
        <v>80</v>
      </c>
      <c r="I27" s="158" t="str">
        <f>IFERROR(VLOOKUP(H27,Lighting!$A$2:$C$9, 2, FALSE),"")</f>
        <v>Choose Location First</v>
      </c>
      <c r="J27" s="36" t="str">
        <f>IFERROR(VLOOKUP(H27,Lighting!$A$2:$C$9, 3, FALSE),"")</f>
        <v>Choose Location First</v>
      </c>
      <c r="K27" s="6"/>
      <c r="L27" s="6"/>
      <c r="M27" s="26" t="s">
        <v>81</v>
      </c>
      <c r="N27" s="6"/>
      <c r="O27" s="162" t="e">
        <f t="shared" si="1"/>
        <v>#DIV/0!</v>
      </c>
      <c r="P27" s="163" t="str">
        <f t="shared" si="2"/>
        <v/>
      </c>
      <c r="Q27" s="269"/>
      <c r="R27" s="269"/>
      <c r="S27" s="6"/>
      <c r="T27" s="6"/>
      <c r="U27" s="26" t="s">
        <v>80</v>
      </c>
      <c r="V27" s="273"/>
      <c r="W27" s="273"/>
      <c r="X27" s="164">
        <f t="shared" si="6"/>
        <v>0</v>
      </c>
    </row>
    <row r="28" spans="1:24" ht="15.75" thickBot="1">
      <c r="A28" s="265">
        <f>IFERROR(($K28-$S28)/1000*0.97*$J28*(VLOOKUP('IQEF Intake Form'!$I28,Lighting!$B$3:$E$9,4,FALSE)+VLOOKUP('IQEF Intake Form'!$I28,Lighting!$B$3:$E$9,3,FALSE)-1),0)</f>
        <v>0</v>
      </c>
      <c r="B28" s="120">
        <f>IFERROR(($K28*L28-$S28*T28)/1000*0.97*$J28*(VLOOKUP('IQEF Intake Form'!$I28,Lighting!$B$3:$E$9,4,FALSE)+VLOOKUP('IQEF Intake Form'!$I28,Lighting!$B$3:$E$9,3,FALSE)-1),0)</f>
        <v>0</v>
      </c>
      <c r="C28" s="266" t="str">
        <f t="shared" si="3"/>
        <v>-</v>
      </c>
      <c r="D28" s="121"/>
      <c r="E28" s="25"/>
      <c r="G28" s="274"/>
      <c r="H28" s="27" t="s">
        <v>80</v>
      </c>
      <c r="I28" s="165" t="str">
        <f>IFERROR(VLOOKUP(H28,Lighting!$A$2:$C$9, 2, FALSE),"")</f>
        <v>Choose Location First</v>
      </c>
      <c r="J28" s="37" t="str">
        <f>IFERROR(VLOOKUP(H28,Lighting!$A$2:$C$9, 3, FALSE),"")</f>
        <v>Choose Location First</v>
      </c>
      <c r="K28" s="9"/>
      <c r="L28" s="9"/>
      <c r="M28" s="27" t="s">
        <v>81</v>
      </c>
      <c r="N28" s="9"/>
      <c r="O28" s="166" t="e">
        <f t="shared" si="1"/>
        <v>#DIV/0!</v>
      </c>
      <c r="P28" s="275" t="str">
        <f t="shared" si="2"/>
        <v/>
      </c>
      <c r="Q28" s="276"/>
      <c r="R28" s="276"/>
      <c r="S28" s="9"/>
      <c r="T28" s="9"/>
      <c r="U28" s="27" t="s">
        <v>80</v>
      </c>
      <c r="V28" s="277"/>
      <c r="W28" s="277"/>
      <c r="X28" s="167">
        <f t="shared" si="6"/>
        <v>0</v>
      </c>
    </row>
    <row r="29" spans="1:24" ht="15.75" thickBot="1">
      <c r="A29" s="278"/>
      <c r="B29" s="122" t="s">
        <v>82</v>
      </c>
      <c r="C29" s="279"/>
      <c r="E29" s="152"/>
      <c r="N29" s="168"/>
      <c r="U29" s="280"/>
      <c r="V29" s="280"/>
      <c r="W29" s="280"/>
    </row>
    <row r="30" spans="1:24" ht="46.5" thickBot="1">
      <c r="A30" s="123">
        <f>IFERROR(SUM(B9:B28),0)</f>
        <v>0</v>
      </c>
      <c r="B30" s="124"/>
      <c r="C30" s="125">
        <f>IFERROR(SUMPRODUCT(C9:C28,$T$9:$T$28),0)</f>
        <v>0</v>
      </c>
      <c r="E30" s="152"/>
      <c r="I30" s="169" t="s">
        <v>83</v>
      </c>
      <c r="J30" s="169" t="s">
        <v>84</v>
      </c>
    </row>
    <row r="31" spans="1:24" ht="61.5" customHeight="1" thickBot="1">
      <c r="A31" s="117" t="s">
        <v>75</v>
      </c>
      <c r="B31" s="126"/>
      <c r="C31" s="119" t="s">
        <v>77</v>
      </c>
      <c r="E31" s="152" t="s">
        <v>85</v>
      </c>
      <c r="G31" s="149" t="s">
        <v>86</v>
      </c>
      <c r="H31" s="170" t="s">
        <v>60</v>
      </c>
      <c r="I31" s="262" t="s">
        <v>87</v>
      </c>
      <c r="J31" s="170" t="s">
        <v>88</v>
      </c>
      <c r="K31" s="263" t="s">
        <v>89</v>
      </c>
      <c r="L31" s="171" t="s">
        <v>90</v>
      </c>
      <c r="M31" s="149" t="s">
        <v>91</v>
      </c>
      <c r="N31" s="170" t="s">
        <v>92</v>
      </c>
      <c r="O31" s="151" t="s">
        <v>74</v>
      </c>
    </row>
    <row r="32" spans="1:24">
      <c r="A32" s="265">
        <f>IFERROR($I32/1000*$H32*J32*0.98*IF($G32=Lighting!$C$13,(Lighting!$E$13+Lighting!$F$13-1),(Lighting!$E$14+Lighting!$F$14-1)),0)</f>
        <v>0</v>
      </c>
      <c r="B32" s="281"/>
      <c r="C32" s="282">
        <f>SUM(B32,(A32*3412.14/10^6))</f>
        <v>0</v>
      </c>
      <c r="E32" s="23" t="s">
        <v>93</v>
      </c>
      <c r="G32" s="30" t="s">
        <v>80</v>
      </c>
      <c r="H32" s="6"/>
      <c r="I32" s="6"/>
      <c r="J32" s="283" t="str">
        <f>IFERROR(VLOOKUP(E32,'Lists &amp; Other References'!$A$20:$B$32,2,FALSE),"")</f>
        <v>Choose Proposed</v>
      </c>
      <c r="K32" s="7"/>
      <c r="L32" s="173" t="e">
        <f>N32/matcost*projcost</f>
        <v>#DIV/0!</v>
      </c>
      <c r="M32" s="284"/>
      <c r="N32" s="273"/>
      <c r="O32" s="164">
        <f>M32+N32</f>
        <v>0</v>
      </c>
    </row>
    <row r="33" spans="1:33">
      <c r="A33" s="265">
        <f>IFERROR($I33/1000*$H33*J33*0.98*IF($G33=Lighting!$C$13,(Lighting!$E$13+Lighting!$F$13-1),(Lighting!$E$14+Lighting!$F$14-1)),0)</f>
        <v>0</v>
      </c>
      <c r="B33" s="281"/>
      <c r="C33" s="282">
        <f>SUM(B33,(A33*3412.14/10^6))</f>
        <v>0</v>
      </c>
      <c r="E33" s="24" t="s">
        <v>93</v>
      </c>
      <c r="G33" s="30" t="s">
        <v>80</v>
      </c>
      <c r="H33" s="6"/>
      <c r="I33" s="6"/>
      <c r="J33" s="283" t="str">
        <f>IFERROR(VLOOKUP(E33,'Lists &amp; Other References'!$A$20:$B$32,2,FALSE),"")</f>
        <v>Choose Proposed</v>
      </c>
      <c r="K33" s="7"/>
      <c r="L33" s="173" t="e">
        <f>N33/matcost*projcost</f>
        <v>#DIV/0!</v>
      </c>
      <c r="M33" s="284"/>
      <c r="N33" s="273"/>
      <c r="O33" s="164">
        <f t="shared" ref="O33:O36" si="9">M33+N33</f>
        <v>0</v>
      </c>
    </row>
    <row r="34" spans="1:33">
      <c r="A34" s="265">
        <f>IFERROR($I34/1000*$H34*J34*0.98*IF($G34=Lighting!$C$13,(Lighting!$E$13+Lighting!$F$13-1),(Lighting!$E$14+Lighting!$F$14-1)),0)</f>
        <v>0</v>
      </c>
      <c r="B34" s="281"/>
      <c r="C34" s="282">
        <f>SUM(B34,(A34*3412.14/10^6))</f>
        <v>0</v>
      </c>
      <c r="E34" s="24" t="s">
        <v>93</v>
      </c>
      <c r="G34" s="30" t="s">
        <v>80</v>
      </c>
      <c r="H34" s="6"/>
      <c r="I34" s="6"/>
      <c r="J34" s="283" t="str">
        <f>IFERROR(VLOOKUP(E34,'Lists &amp; Other References'!$A$20:$B$32,2,FALSE),"")</f>
        <v>Choose Proposed</v>
      </c>
      <c r="K34" s="7"/>
      <c r="L34" s="173" t="e">
        <f>N34/matcost*projcost</f>
        <v>#DIV/0!</v>
      </c>
      <c r="M34" s="284"/>
      <c r="N34" s="273"/>
      <c r="O34" s="164">
        <f t="shared" si="9"/>
        <v>0</v>
      </c>
    </row>
    <row r="35" spans="1:33">
      <c r="A35" s="265">
        <f>IFERROR($I35/1000*$H35*J35*0.98*IF($G35=Lighting!$C$13,(Lighting!$E$13+Lighting!$F$13-1),(Lighting!$E$14+Lighting!$F$14-1)),0)</f>
        <v>0</v>
      </c>
      <c r="B35" s="281"/>
      <c r="C35" s="282">
        <f>SUM(B35,(A35*3412.14/10^6))</f>
        <v>0</v>
      </c>
      <c r="E35" s="24" t="s">
        <v>93</v>
      </c>
      <c r="G35" s="30" t="s">
        <v>80</v>
      </c>
      <c r="H35" s="6"/>
      <c r="I35" s="6"/>
      <c r="J35" s="283" t="str">
        <f>IFERROR(VLOOKUP(E35,'Lists &amp; Other References'!$A$20:$B$32,2,FALSE),"")</f>
        <v>Choose Proposed</v>
      </c>
      <c r="K35" s="7"/>
      <c r="L35" s="173" t="e">
        <f>N35/matcost*projcost</f>
        <v>#DIV/0!</v>
      </c>
      <c r="M35" s="284"/>
      <c r="N35" s="273"/>
      <c r="O35" s="164">
        <f t="shared" si="9"/>
        <v>0</v>
      </c>
    </row>
    <row r="36" spans="1:33" ht="15.75" thickBot="1">
      <c r="A36" s="265">
        <f>IFERROR($I36/1000*$H36*J36*0.98*IF($G36=Lighting!$C$13,(Lighting!$E$13+Lighting!$F$13-1),(Lighting!$E$14+Lighting!$F$14-1)),0)</f>
        <v>0</v>
      </c>
      <c r="B36" s="281"/>
      <c r="C36" s="282">
        <f>SUM(B36,(A36*3412.14/10^6))</f>
        <v>0</v>
      </c>
      <c r="E36" s="25" t="s">
        <v>93</v>
      </c>
      <c r="G36" s="31" t="s">
        <v>80</v>
      </c>
      <c r="H36" s="9"/>
      <c r="I36" s="9"/>
      <c r="J36" s="285" t="str">
        <f>IFERROR(VLOOKUP(E36,'Lists &amp; Other References'!$A$20:$B$32,2,FALSE),"")</f>
        <v>Choose Proposed</v>
      </c>
      <c r="K36" s="10"/>
      <c r="L36" s="174" t="e">
        <f>N36/matcost*projcost</f>
        <v>#DIV/0!</v>
      </c>
      <c r="M36" s="286"/>
      <c r="N36" s="277"/>
      <c r="O36" s="167">
        <f t="shared" si="9"/>
        <v>0</v>
      </c>
    </row>
    <row r="37" spans="1:33" ht="15.75" thickBot="1">
      <c r="A37" s="278"/>
      <c r="B37" s="127" t="s">
        <v>82</v>
      </c>
      <c r="C37" s="128"/>
      <c r="E37" s="152"/>
      <c r="N37" s="168"/>
      <c r="U37" s="280"/>
      <c r="V37" s="280"/>
      <c r="W37" s="280"/>
    </row>
    <row r="38" spans="1:33" ht="16.5" thickBot="1">
      <c r="A38" s="123">
        <f>IFERROR(SUMPRODUCT(A32:A36,$K$32:$K$36),0)</f>
        <v>0</v>
      </c>
      <c r="B38" s="124">
        <f t="shared" ref="B38:C38" si="10">IFERROR(SUMPRODUCT(B32:B36,$K$32:$K$36),0)</f>
        <v>0</v>
      </c>
      <c r="C38" s="125">
        <f t="shared" si="10"/>
        <v>0</v>
      </c>
      <c r="E38" s="152"/>
    </row>
    <row r="39" spans="1:33">
      <c r="A39" s="129"/>
      <c r="B39" s="130"/>
      <c r="C39" s="131"/>
    </row>
    <row r="40" spans="1:33" ht="36" customHeight="1" thickBot="1">
      <c r="A40" s="287"/>
      <c r="B40" s="132"/>
      <c r="C40" s="128"/>
      <c r="E40" s="148" t="s">
        <v>94</v>
      </c>
    </row>
    <row r="41" spans="1:33" ht="75.75" thickBot="1">
      <c r="A41" s="117" t="s">
        <v>75</v>
      </c>
      <c r="B41" s="126" t="s">
        <v>95</v>
      </c>
      <c r="C41" s="119" t="s">
        <v>77</v>
      </c>
      <c r="E41" s="152" t="s">
        <v>96</v>
      </c>
      <c r="F41" s="260" t="s">
        <v>56</v>
      </c>
      <c r="G41" s="288" t="s">
        <v>97</v>
      </c>
      <c r="H41" s="261" t="s">
        <v>98</v>
      </c>
      <c r="I41" s="261" t="s">
        <v>99</v>
      </c>
      <c r="J41" s="289" t="s">
        <v>100</v>
      </c>
      <c r="K41" s="290" t="s">
        <v>101</v>
      </c>
      <c r="L41" s="289" t="s">
        <v>102</v>
      </c>
      <c r="M41" s="290" t="s">
        <v>101</v>
      </c>
      <c r="N41" s="261" t="s">
        <v>103</v>
      </c>
      <c r="O41" s="289" t="s">
        <v>104</v>
      </c>
      <c r="P41" s="290" t="s">
        <v>105</v>
      </c>
      <c r="Q41" s="150" t="s">
        <v>89</v>
      </c>
      <c r="R41" s="175" t="s">
        <v>106</v>
      </c>
      <c r="S41" s="260" t="s">
        <v>107</v>
      </c>
      <c r="T41" s="291" t="s">
        <v>108</v>
      </c>
      <c r="U41" s="190" t="s">
        <v>67</v>
      </c>
      <c r="V41" s="191" t="s">
        <v>68</v>
      </c>
      <c r="W41" s="292" t="s">
        <v>109</v>
      </c>
      <c r="X41" s="293" t="s">
        <v>110</v>
      </c>
      <c r="Y41" s="294" t="s">
        <v>101</v>
      </c>
      <c r="Z41" s="293" t="s">
        <v>111</v>
      </c>
      <c r="AA41" s="294" t="s">
        <v>101</v>
      </c>
      <c r="AB41" s="292" t="s">
        <v>112</v>
      </c>
      <c r="AC41" s="293" t="s">
        <v>113</v>
      </c>
      <c r="AD41" s="294" t="s">
        <v>101</v>
      </c>
      <c r="AE41" s="190" t="s">
        <v>91</v>
      </c>
      <c r="AF41" s="190" t="s">
        <v>92</v>
      </c>
      <c r="AG41" s="176" t="s">
        <v>74</v>
      </c>
    </row>
    <row r="42" spans="1:33">
      <c r="A42" s="265">
        <f>IFERROR(VLOOKUP(CONCATENATE("Entry 1",E42),'Heat Pumps'!C:N,11,FALSE),0)</f>
        <v>0</v>
      </c>
      <c r="B42" s="281">
        <f>IFERROR(VLOOKUP(CONCATENATE("Entry 1",E42),'Heat Pumps'!C:N,12,FALSE),0)</f>
        <v>0</v>
      </c>
      <c r="C42" s="295">
        <f>IFERROR(SUM(B42,(A42*3412.14/10^6)),0)</f>
        <v>0</v>
      </c>
      <c r="E42" s="23" t="s">
        <v>114</v>
      </c>
      <c r="G42" s="30" t="s">
        <v>80</v>
      </c>
      <c r="H42" s="269"/>
      <c r="I42" s="110"/>
      <c r="J42" s="111"/>
      <c r="K42" s="26" t="s">
        <v>80</v>
      </c>
      <c r="L42" s="111"/>
      <c r="M42" s="26" t="s">
        <v>80</v>
      </c>
      <c r="N42" s="110"/>
      <c r="O42" s="111"/>
      <c r="P42" s="26" t="s">
        <v>80</v>
      </c>
      <c r="Q42" s="195"/>
      <c r="R42" s="7"/>
      <c r="T42" s="272"/>
      <c r="U42" s="269"/>
      <c r="V42" s="269"/>
      <c r="W42" s="110"/>
      <c r="X42" s="111"/>
      <c r="Y42" s="268" t="s">
        <v>80</v>
      </c>
      <c r="Z42" s="111"/>
      <c r="AA42" s="26" t="s">
        <v>80</v>
      </c>
      <c r="AB42" s="110"/>
      <c r="AC42" s="111"/>
      <c r="AD42" s="26" t="s">
        <v>80</v>
      </c>
      <c r="AE42" s="273"/>
      <c r="AF42" s="273"/>
      <c r="AG42" s="164">
        <f>AE42+AF42</f>
        <v>0</v>
      </c>
    </row>
    <row r="43" spans="1:33">
      <c r="A43" s="265">
        <f>IFERROR(VLOOKUP(CONCATENATE("Entry 2",E43),'Heat Pumps'!C:N,11,FALSE),0)</f>
        <v>0</v>
      </c>
      <c r="B43" s="281">
        <f>IFERROR(VLOOKUP(CONCATENATE("Entry 2",E43),'Heat Pumps'!C:N,12,FALSE),0)</f>
        <v>0</v>
      </c>
      <c r="C43" s="295">
        <f>IFERROR(SUM(B43,(A43*3412.14/10^6)),0)</f>
        <v>0</v>
      </c>
      <c r="E43" s="24" t="s">
        <v>114</v>
      </c>
      <c r="G43" s="30" t="s">
        <v>80</v>
      </c>
      <c r="H43" s="269"/>
      <c r="I43" s="110"/>
      <c r="J43" s="111"/>
      <c r="K43" s="26" t="s">
        <v>80</v>
      </c>
      <c r="L43" s="111"/>
      <c r="M43" s="26" t="s">
        <v>80</v>
      </c>
      <c r="N43" s="296"/>
      <c r="O43" s="111"/>
      <c r="P43" s="26" t="s">
        <v>80</v>
      </c>
      <c r="Q43" s="195"/>
      <c r="R43" s="7"/>
      <c r="T43" s="272"/>
      <c r="U43" s="269"/>
      <c r="V43" s="269"/>
      <c r="W43" s="110"/>
      <c r="X43" s="111"/>
      <c r="Y43" s="268" t="s">
        <v>80</v>
      </c>
      <c r="Z43" s="111"/>
      <c r="AA43" s="26" t="s">
        <v>80</v>
      </c>
      <c r="AB43" s="110"/>
      <c r="AC43" s="111"/>
      <c r="AD43" s="26" t="s">
        <v>80</v>
      </c>
      <c r="AE43" s="273"/>
      <c r="AF43" s="273"/>
      <c r="AG43" s="164">
        <f>AE43+AF43</f>
        <v>0</v>
      </c>
    </row>
    <row r="44" spans="1:33">
      <c r="A44" s="265">
        <f>IFERROR(VLOOKUP(CONCATENATE("Entry 3",E44),'Heat Pumps'!C:N,11,FALSE),0)</f>
        <v>0</v>
      </c>
      <c r="B44" s="281">
        <f>IFERROR(VLOOKUP(CONCATENATE("Entry 3",E44),'Heat Pumps'!C:N,12,FALSE),0)</f>
        <v>0</v>
      </c>
      <c r="C44" s="295">
        <f>IFERROR(SUM(B44,(A44*3412.14/10^6)),0)</f>
        <v>0</v>
      </c>
      <c r="E44" s="24" t="s">
        <v>114</v>
      </c>
      <c r="G44" s="30" t="s">
        <v>80</v>
      </c>
      <c r="H44" s="269"/>
      <c r="I44" s="111"/>
      <c r="J44" s="111"/>
      <c r="K44" s="26" t="s">
        <v>80</v>
      </c>
      <c r="L44" s="111"/>
      <c r="M44" s="26" t="s">
        <v>80</v>
      </c>
      <c r="N44" s="111"/>
      <c r="O44" s="111"/>
      <c r="P44" s="26" t="s">
        <v>80</v>
      </c>
      <c r="Q44" s="196"/>
      <c r="R44" s="7"/>
      <c r="T44" s="272"/>
      <c r="U44" s="269"/>
      <c r="V44" s="269"/>
      <c r="W44" s="269"/>
      <c r="X44" s="269"/>
      <c r="Y44" s="268" t="s">
        <v>80</v>
      </c>
      <c r="Z44" s="111"/>
      <c r="AA44" s="268" t="s">
        <v>80</v>
      </c>
      <c r="AB44" s="6"/>
      <c r="AC44" s="111"/>
      <c r="AD44" s="268" t="s">
        <v>80</v>
      </c>
      <c r="AE44" s="273"/>
      <c r="AF44" s="273"/>
      <c r="AG44" s="164">
        <f>AE44+AF44</f>
        <v>0</v>
      </c>
    </row>
    <row r="45" spans="1:33">
      <c r="A45" s="265">
        <f>IFERROR(VLOOKUP(CONCATENATE("Entry 4",E45),'Heat Pumps'!C:N,11,FALSE),0)</f>
        <v>0</v>
      </c>
      <c r="B45" s="281">
        <f>IFERROR(VLOOKUP(CONCATENATE("Entry 4",E45),'Heat Pumps'!C:N,12,FALSE),0)</f>
        <v>0</v>
      </c>
      <c r="C45" s="295">
        <f t="shared" ref="C45:C47" si="11">IFERROR(SUM(B45,(A45*3412.14/10^6)),0)</f>
        <v>0</v>
      </c>
      <c r="E45" s="24" t="s">
        <v>114</v>
      </c>
      <c r="G45" s="30" t="s">
        <v>80</v>
      </c>
      <c r="H45" s="269"/>
      <c r="I45" s="111"/>
      <c r="J45" s="111"/>
      <c r="K45" s="26" t="s">
        <v>80</v>
      </c>
      <c r="L45" s="111"/>
      <c r="M45" s="26" t="s">
        <v>80</v>
      </c>
      <c r="N45" s="111"/>
      <c r="O45" s="111"/>
      <c r="P45" s="26" t="s">
        <v>80</v>
      </c>
      <c r="Q45" s="196"/>
      <c r="R45" s="7"/>
      <c r="T45" s="272"/>
      <c r="U45" s="269"/>
      <c r="V45" s="269"/>
      <c r="W45" s="269"/>
      <c r="X45" s="269"/>
      <c r="Y45" s="268" t="s">
        <v>80</v>
      </c>
      <c r="Z45" s="111"/>
      <c r="AA45" s="268" t="s">
        <v>80</v>
      </c>
      <c r="AB45" s="6"/>
      <c r="AC45" s="111"/>
      <c r="AD45" s="268" t="s">
        <v>80</v>
      </c>
      <c r="AE45" s="273"/>
      <c r="AF45" s="273"/>
      <c r="AG45" s="164">
        <f t="shared" ref="AG45:AG47" si="12">AE45+AF45</f>
        <v>0</v>
      </c>
    </row>
    <row r="46" spans="1:33">
      <c r="A46" s="265">
        <f>IFERROR(VLOOKUP(CONCATENATE("Entry 5",E46),'Heat Pumps'!C:N,11,FALSE),0)</f>
        <v>0</v>
      </c>
      <c r="B46" s="281">
        <f>IFERROR(VLOOKUP(CONCATENATE("Entry 5",E46),'Heat Pumps'!C:N,12,FALSE),0)</f>
        <v>0</v>
      </c>
      <c r="C46" s="295">
        <f t="shared" si="11"/>
        <v>0</v>
      </c>
      <c r="E46" s="24" t="s">
        <v>114</v>
      </c>
      <c r="G46" s="30" t="s">
        <v>80</v>
      </c>
      <c r="H46" s="269"/>
      <c r="I46" s="110"/>
      <c r="J46" s="111"/>
      <c r="K46" s="26" t="s">
        <v>80</v>
      </c>
      <c r="L46" s="111"/>
      <c r="M46" s="26" t="s">
        <v>80</v>
      </c>
      <c r="N46" s="111"/>
      <c r="O46" s="111"/>
      <c r="P46" s="26" t="s">
        <v>80</v>
      </c>
      <c r="Q46" s="196"/>
      <c r="R46" s="7"/>
      <c r="T46" s="272"/>
      <c r="U46" s="269"/>
      <c r="V46" s="269"/>
      <c r="W46" s="269"/>
      <c r="X46" s="269"/>
      <c r="Y46" s="268" t="s">
        <v>80</v>
      </c>
      <c r="Z46" s="111"/>
      <c r="AA46" s="268" t="s">
        <v>80</v>
      </c>
      <c r="AB46" s="110"/>
      <c r="AC46" s="111"/>
      <c r="AD46" s="268" t="s">
        <v>80</v>
      </c>
      <c r="AE46" s="273"/>
      <c r="AF46" s="273"/>
      <c r="AG46" s="164">
        <f t="shared" si="12"/>
        <v>0</v>
      </c>
    </row>
    <row r="47" spans="1:33">
      <c r="A47" s="265">
        <f>IFERROR(VLOOKUP(CONCATENATE("Entry 6",E47),'Heat Pumps'!C:N,11,FALSE),0)</f>
        <v>0</v>
      </c>
      <c r="B47" s="281">
        <f>IFERROR(VLOOKUP(CONCATENATE("Entry 6",E47),'Heat Pumps'!C:N,12,FALSE),0)</f>
        <v>0</v>
      </c>
      <c r="C47" s="295">
        <f t="shared" si="11"/>
        <v>0</v>
      </c>
      <c r="E47" s="25" t="s">
        <v>114</v>
      </c>
      <c r="G47" s="31" t="s">
        <v>80</v>
      </c>
      <c r="H47" s="22"/>
      <c r="I47" s="22"/>
      <c r="J47" s="22"/>
      <c r="K47" s="27" t="s">
        <v>80</v>
      </c>
      <c r="L47" s="22"/>
      <c r="M47" s="27" t="s">
        <v>80</v>
      </c>
      <c r="N47" s="22"/>
      <c r="O47" s="22"/>
      <c r="P47" s="27" t="s">
        <v>80</v>
      </c>
      <c r="Q47" s="197"/>
      <c r="R47" s="10"/>
      <c r="T47" s="274"/>
      <c r="U47" s="9"/>
      <c r="V47" s="9"/>
      <c r="W47" s="9"/>
      <c r="X47" s="9"/>
      <c r="Y47" s="27" t="s">
        <v>80</v>
      </c>
      <c r="Z47" s="9"/>
      <c r="AA47" s="27" t="s">
        <v>80</v>
      </c>
      <c r="AB47" s="9"/>
      <c r="AC47" s="9"/>
      <c r="AD47" s="27" t="s">
        <v>80</v>
      </c>
      <c r="AE47" s="277"/>
      <c r="AF47" s="277"/>
      <c r="AG47" s="177">
        <f t="shared" si="12"/>
        <v>0</v>
      </c>
    </row>
    <row r="48" spans="1:33" ht="15.75" thickBot="1">
      <c r="A48" s="278"/>
      <c r="B48" s="127" t="s">
        <v>82</v>
      </c>
      <c r="C48" s="128"/>
      <c r="E48" s="152"/>
      <c r="N48" s="168"/>
      <c r="U48" s="280"/>
      <c r="V48" s="280"/>
      <c r="W48" s="280"/>
    </row>
    <row r="49" spans="1:23" ht="16.5" thickBot="1">
      <c r="A49" s="123">
        <f>IFERROR(SUMPRODUCT(A42:A47,$Q42:$Q47),0)</f>
        <v>0</v>
      </c>
      <c r="B49" s="123">
        <f>IFERROR(SUMPRODUCT(B42:B47,$Q42:$Q47),0)</f>
        <v>0</v>
      </c>
      <c r="C49" s="125">
        <f>IFERROR(SUMPRODUCT(C42:C47,$Q$42:$Q$44),0)</f>
        <v>0</v>
      </c>
    </row>
    <row r="50" spans="1:23" ht="56.25" customHeight="1" thickBot="1">
      <c r="A50" s="117" t="s">
        <v>75</v>
      </c>
      <c r="B50" s="126" t="s">
        <v>95</v>
      </c>
      <c r="C50" s="119" t="s">
        <v>77</v>
      </c>
      <c r="E50" s="148" t="s">
        <v>115</v>
      </c>
      <c r="G50" s="149" t="s">
        <v>116</v>
      </c>
      <c r="H50" s="150" t="s">
        <v>117</v>
      </c>
      <c r="I50" s="261" t="s">
        <v>118</v>
      </c>
      <c r="J50" s="175" t="s">
        <v>89</v>
      </c>
      <c r="L50" s="149" t="s">
        <v>67</v>
      </c>
      <c r="M50" s="150" t="s">
        <v>68</v>
      </c>
      <c r="N50" s="261" t="s">
        <v>119</v>
      </c>
      <c r="O50" s="150" t="s">
        <v>91</v>
      </c>
      <c r="P50" s="261" t="s">
        <v>120</v>
      </c>
      <c r="Q50" s="176" t="s">
        <v>74</v>
      </c>
    </row>
    <row r="51" spans="1:23" ht="16.5" thickBot="1">
      <c r="A51" s="123">
        <f>IFERROR(IF(N51="Yes",VLOOKUP(CONCATENATE(H51,I51),'Lists &amp; Other References'!B70:E74,3,FALSE),0),0)</f>
        <v>0</v>
      </c>
      <c r="B51" s="124">
        <f>IFERROR(VLOOKUP(CONCATENATE(H51,I51),'Lists &amp; Other References'!B70:E74,4,FALSE),0)</f>
        <v>0</v>
      </c>
      <c r="C51" s="125">
        <f>SUM(B51,(A51*3412.14/10^6))</f>
        <v>0</v>
      </c>
      <c r="E51" s="178" t="s">
        <v>121</v>
      </c>
      <c r="G51" s="31"/>
      <c r="H51" s="27"/>
      <c r="I51" s="27"/>
      <c r="J51" s="10"/>
      <c r="L51" s="274"/>
      <c r="M51" s="276"/>
      <c r="N51" s="27"/>
      <c r="O51" s="277"/>
      <c r="P51" s="277"/>
      <c r="Q51" s="167">
        <f>O51+P51</f>
        <v>0</v>
      </c>
    </row>
    <row r="52" spans="1:23" ht="15.75" thickBot="1">
      <c r="A52" s="278"/>
      <c r="B52" s="127" t="s">
        <v>82</v>
      </c>
      <c r="C52" s="128"/>
      <c r="E52" s="152"/>
      <c r="N52" s="168"/>
      <c r="U52" s="280"/>
      <c r="V52" s="280"/>
      <c r="W52" s="280"/>
    </row>
    <row r="53" spans="1:23" ht="16.5" thickBot="1">
      <c r="A53" s="123">
        <f>IFERROR(A51*J51,0)</f>
        <v>0</v>
      </c>
      <c r="B53" s="124">
        <f>IFERROR(B51*J51,0)</f>
        <v>0</v>
      </c>
      <c r="C53" s="125">
        <f>IFERROR(C51*J51,0)</f>
        <v>0</v>
      </c>
    </row>
    <row r="54" spans="1:23">
      <c r="A54" s="133"/>
      <c r="B54" s="132"/>
      <c r="C54" s="128"/>
    </row>
    <row r="55" spans="1:23" ht="21.75" thickBot="1">
      <c r="A55" s="129"/>
      <c r="B55" s="130"/>
      <c r="C55" s="131"/>
      <c r="E55" s="148" t="s">
        <v>122</v>
      </c>
      <c r="J55" s="257"/>
    </row>
    <row r="56" spans="1:23" ht="75.75" thickBot="1">
      <c r="A56" s="117" t="s">
        <v>75</v>
      </c>
      <c r="B56" s="126"/>
      <c r="C56" s="119" t="s">
        <v>77</v>
      </c>
      <c r="E56" s="152" t="s">
        <v>123</v>
      </c>
      <c r="F56" s="260" t="s">
        <v>56</v>
      </c>
      <c r="G56" s="288" t="s">
        <v>97</v>
      </c>
      <c r="H56" s="150" t="s">
        <v>124</v>
      </c>
      <c r="I56" s="261" t="s">
        <v>125</v>
      </c>
      <c r="J56" s="261" t="s">
        <v>126</v>
      </c>
      <c r="K56" s="261" t="s">
        <v>127</v>
      </c>
      <c r="L56" s="150" t="s">
        <v>89</v>
      </c>
      <c r="M56" s="175" t="s">
        <v>106</v>
      </c>
      <c r="N56" s="260" t="s">
        <v>107</v>
      </c>
      <c r="O56" s="149" t="s">
        <v>67</v>
      </c>
      <c r="P56" s="170" t="s">
        <v>68</v>
      </c>
      <c r="Q56" s="261" t="s">
        <v>128</v>
      </c>
      <c r="R56" s="261" t="s">
        <v>129</v>
      </c>
      <c r="S56" s="261" t="s">
        <v>130</v>
      </c>
      <c r="T56" s="150" t="s">
        <v>91</v>
      </c>
      <c r="U56" s="261" t="s">
        <v>92</v>
      </c>
      <c r="V56" s="176" t="s">
        <v>74</v>
      </c>
    </row>
    <row r="57" spans="1:23">
      <c r="A57" s="297">
        <f>H57*(I57*K57-Q57*S57)</f>
        <v>0</v>
      </c>
      <c r="B57" s="298"/>
      <c r="C57" s="299">
        <f>SUM(B57,(A57*3412.14/10^6))</f>
        <v>0</v>
      </c>
      <c r="E57" s="23" t="s">
        <v>131</v>
      </c>
      <c r="G57" s="272"/>
      <c r="H57" s="6"/>
      <c r="I57" s="6"/>
      <c r="J57" s="6"/>
      <c r="K57" s="6"/>
      <c r="L57" s="6"/>
      <c r="M57" s="7"/>
      <c r="O57" s="272"/>
      <c r="P57" s="269"/>
      <c r="Q57" s="6"/>
      <c r="R57" s="6"/>
      <c r="S57" s="6"/>
      <c r="T57" s="273"/>
      <c r="U57" s="273"/>
      <c r="V57" s="164">
        <f>T57+U57</f>
        <v>0</v>
      </c>
    </row>
    <row r="58" spans="1:23">
      <c r="A58" s="297">
        <f t="shared" ref="A58:A59" si="13">H58*(I58*K58-Q58*S58)</f>
        <v>0</v>
      </c>
      <c r="B58" s="298"/>
      <c r="C58" s="299">
        <f>SUM(B58,(A58*3412.14/10^6))</f>
        <v>0</v>
      </c>
      <c r="E58" s="24"/>
      <c r="G58" s="272"/>
      <c r="H58" s="6"/>
      <c r="I58" s="6"/>
      <c r="J58" s="6"/>
      <c r="K58" s="6"/>
      <c r="L58" s="6"/>
      <c r="M58" s="7"/>
      <c r="O58" s="272"/>
      <c r="P58" s="269"/>
      <c r="Q58" s="6"/>
      <c r="R58" s="6"/>
      <c r="S58" s="6"/>
      <c r="T58" s="273"/>
      <c r="U58" s="273"/>
      <c r="V58" s="164">
        <f>T58+U58</f>
        <v>0</v>
      </c>
    </row>
    <row r="59" spans="1:23" ht="15.75" thickBot="1">
      <c r="A59" s="297">
        <f t="shared" si="13"/>
        <v>0</v>
      </c>
      <c r="B59" s="298"/>
      <c r="C59" s="299">
        <f>SUM(B59,(A59*3412.14/10^6))</f>
        <v>0</v>
      </c>
      <c r="E59" s="25"/>
      <c r="G59" s="274"/>
      <c r="H59" s="9"/>
      <c r="I59" s="9"/>
      <c r="J59" s="9"/>
      <c r="K59" s="9"/>
      <c r="L59" s="9"/>
      <c r="M59" s="10"/>
      <c r="O59" s="274"/>
      <c r="P59" s="276"/>
      <c r="Q59" s="9"/>
      <c r="R59" s="9"/>
      <c r="S59" s="9"/>
      <c r="T59" s="277"/>
      <c r="U59" s="277"/>
      <c r="V59" s="177">
        <f>T59+U59</f>
        <v>0</v>
      </c>
    </row>
    <row r="60" spans="1:23" ht="15.75" thickBot="1">
      <c r="A60" s="278"/>
      <c r="B60" s="127" t="s">
        <v>82</v>
      </c>
      <c r="C60" s="128"/>
      <c r="E60" s="152"/>
      <c r="N60" s="168"/>
      <c r="U60" s="280"/>
      <c r="V60" s="280"/>
      <c r="W60" s="280"/>
    </row>
    <row r="61" spans="1:23" ht="16.5" thickBot="1">
      <c r="A61" s="123">
        <f>IFERROR(SUMPRODUCT(A57:A59,$L$57:$L$59),0)</f>
        <v>0</v>
      </c>
      <c r="B61" s="124">
        <f>IFERROR(SUMPRODUCT(B57:B59,$L$57:$L$59),0)</f>
        <v>0</v>
      </c>
      <c r="C61" s="125">
        <f>IFERROR(SUMPRODUCT(C57:C59,$L$57:$L$59),0)</f>
        <v>0</v>
      </c>
    </row>
    <row r="62" spans="1:23">
      <c r="A62" s="133"/>
      <c r="B62" s="132"/>
      <c r="C62" s="128"/>
    </row>
    <row r="63" spans="1:23" ht="59.25" thickBot="1">
      <c r="A63" s="133"/>
      <c r="B63" s="132"/>
      <c r="C63" s="128"/>
      <c r="E63" s="148" t="s">
        <v>132</v>
      </c>
      <c r="J63" s="169" t="s">
        <v>133</v>
      </c>
      <c r="K63" s="169" t="s">
        <v>134</v>
      </c>
      <c r="L63" s="169" t="s">
        <v>135</v>
      </c>
    </row>
    <row r="64" spans="1:23" ht="45.75" thickBot="1">
      <c r="A64" s="117" t="s">
        <v>75</v>
      </c>
      <c r="B64" s="126" t="s">
        <v>95</v>
      </c>
      <c r="C64" s="119" t="s">
        <v>77</v>
      </c>
      <c r="E64" s="152" t="s">
        <v>136</v>
      </c>
      <c r="F64" s="260" t="s">
        <v>56</v>
      </c>
      <c r="G64" s="288" t="s">
        <v>137</v>
      </c>
      <c r="H64" s="150" t="s">
        <v>138</v>
      </c>
      <c r="I64" s="150" t="s">
        <v>106</v>
      </c>
      <c r="J64" s="150" t="s">
        <v>89</v>
      </c>
      <c r="K64" s="261" t="s">
        <v>139</v>
      </c>
      <c r="L64" s="263" t="s">
        <v>140</v>
      </c>
      <c r="N64" s="149" t="s">
        <v>67</v>
      </c>
      <c r="O64" s="261" t="s">
        <v>141</v>
      </c>
      <c r="P64" s="261" t="s">
        <v>142</v>
      </c>
      <c r="Q64" s="150" t="s">
        <v>143</v>
      </c>
      <c r="R64" s="150" t="s">
        <v>91</v>
      </c>
      <c r="S64" s="150" t="s">
        <v>92</v>
      </c>
      <c r="T64" s="176" t="s">
        <v>74</v>
      </c>
    </row>
    <row r="65" spans="1:23">
      <c r="A65" s="265">
        <f>'Water Heater'!V3</f>
        <v>0</v>
      </c>
      <c r="B65" s="298">
        <f>'Water Heater'!W3</f>
        <v>0</v>
      </c>
      <c r="C65" s="295">
        <f>SUM(B65,(A65*3412.14/10^6))</f>
        <v>0</v>
      </c>
      <c r="E65" s="23" t="s">
        <v>144</v>
      </c>
      <c r="G65" s="30" t="s">
        <v>145</v>
      </c>
      <c r="H65" s="6"/>
      <c r="I65" s="6"/>
      <c r="J65" s="6"/>
      <c r="K65" s="6"/>
      <c r="L65" s="28" t="s">
        <v>80</v>
      </c>
      <c r="N65" s="272"/>
      <c r="O65" s="269"/>
      <c r="P65" s="6"/>
      <c r="Q65" s="6"/>
      <c r="R65" s="273"/>
      <c r="S65" s="273"/>
      <c r="T65" s="164">
        <f>R65+S65</f>
        <v>0</v>
      </c>
    </row>
    <row r="66" spans="1:23">
      <c r="A66" s="265">
        <f>'Water Heater'!V4</f>
        <v>0</v>
      </c>
      <c r="B66" s="298">
        <f>'Water Heater'!W4</f>
        <v>0</v>
      </c>
      <c r="C66" s="295">
        <f>SUM(B66,(A66*3412.14/10^6))</f>
        <v>0</v>
      </c>
      <c r="E66" s="24" t="s">
        <v>144</v>
      </c>
      <c r="G66" s="30" t="s">
        <v>145</v>
      </c>
      <c r="H66" s="6"/>
      <c r="I66" s="6"/>
      <c r="J66" s="6"/>
      <c r="K66" s="6"/>
      <c r="L66" s="28" t="s">
        <v>80</v>
      </c>
      <c r="N66" s="272"/>
      <c r="O66" s="269"/>
      <c r="P66" s="6"/>
      <c r="Q66" s="6"/>
      <c r="R66" s="273"/>
      <c r="S66" s="273"/>
      <c r="T66" s="164">
        <f>R66+S66</f>
        <v>0</v>
      </c>
    </row>
    <row r="67" spans="1:23" ht="15.75" thickBot="1">
      <c r="A67" s="265">
        <f>'Water Heater'!V5</f>
        <v>0</v>
      </c>
      <c r="B67" s="298">
        <f>'Water Heater'!W5</f>
        <v>0</v>
      </c>
      <c r="C67" s="295">
        <f>SUM(B67,(A67*3412.14/10^6))</f>
        <v>0</v>
      </c>
      <c r="E67" s="25" t="s">
        <v>144</v>
      </c>
      <c r="G67" s="31" t="s">
        <v>145</v>
      </c>
      <c r="H67" s="9"/>
      <c r="I67" s="9"/>
      <c r="J67" s="9"/>
      <c r="K67" s="9"/>
      <c r="L67" s="29" t="s">
        <v>80</v>
      </c>
      <c r="N67" s="274"/>
      <c r="O67" s="9"/>
      <c r="P67" s="9"/>
      <c r="Q67" s="9"/>
      <c r="R67" s="277"/>
      <c r="S67" s="277"/>
      <c r="T67" s="177">
        <f>R67+S67</f>
        <v>0</v>
      </c>
    </row>
    <row r="68" spans="1:23" ht="15.75" thickBot="1">
      <c r="A68" s="278"/>
      <c r="B68" s="127" t="s">
        <v>82</v>
      </c>
      <c r="C68" s="128"/>
      <c r="E68" s="152"/>
      <c r="N68" s="168"/>
      <c r="U68" s="280"/>
      <c r="V68" s="280"/>
      <c r="W68" s="280"/>
    </row>
    <row r="69" spans="1:23" ht="16.5" thickBot="1">
      <c r="A69" s="123">
        <f>IFERROR(SUMPRODUCT(A65:A67,$J$65:$J$67),0)</f>
        <v>0</v>
      </c>
      <c r="B69" s="124">
        <f t="shared" ref="B69:C69" si="14">IFERROR(SUMPRODUCT(B65:B67,$J$65:$J$67),0)</f>
        <v>0</v>
      </c>
      <c r="C69" s="125">
        <f t="shared" si="14"/>
        <v>0</v>
      </c>
    </row>
    <row r="70" spans="1:23">
      <c r="A70" s="133"/>
      <c r="B70" s="132"/>
      <c r="C70" s="128"/>
      <c r="E70" s="152"/>
    </row>
    <row r="71" spans="1:23" ht="21.75" thickBot="1">
      <c r="A71" s="133"/>
      <c r="B71" s="132"/>
      <c r="C71" s="128"/>
      <c r="E71" s="148" t="s">
        <v>146</v>
      </c>
    </row>
    <row r="72" spans="1:23" ht="45.75" customHeight="1" thickBot="1">
      <c r="A72" s="117" t="s">
        <v>75</v>
      </c>
      <c r="B72" s="126" t="s">
        <v>95</v>
      </c>
      <c r="C72" s="119" t="s">
        <v>77</v>
      </c>
      <c r="E72" s="300" t="s">
        <v>147</v>
      </c>
      <c r="F72" s="150" t="s">
        <v>148</v>
      </c>
      <c r="G72" s="179" t="s">
        <v>148</v>
      </c>
      <c r="H72" s="150" t="s">
        <v>89</v>
      </c>
      <c r="I72" s="263" t="s">
        <v>149</v>
      </c>
      <c r="K72" s="149" t="s">
        <v>67</v>
      </c>
      <c r="L72" s="170" t="s">
        <v>141</v>
      </c>
      <c r="M72" s="150" t="s">
        <v>150</v>
      </c>
      <c r="N72" s="261" t="s">
        <v>91</v>
      </c>
      <c r="O72" s="261" t="s">
        <v>151</v>
      </c>
      <c r="P72" s="176" t="s">
        <v>74</v>
      </c>
    </row>
    <row r="73" spans="1:23">
      <c r="A73" s="265">
        <f>IFERROR(($I73-$M73)*VLOOKUP($G73,'Low Flow Faucets'!$A$26:$C$29,3,FALSE),0)</f>
        <v>0</v>
      </c>
      <c r="B73" s="298">
        <f>IFERROR(($I73-$M73)*VLOOKUP($G73,'Low Flow Faucets'!$A$22:$C$25,3,FALSE),0)</f>
        <v>0</v>
      </c>
      <c r="C73" s="282">
        <f>SUM(B73,(A73*3412.14/10^6))</f>
        <v>0</v>
      </c>
      <c r="E73" s="23" t="s">
        <v>152</v>
      </c>
      <c r="F73" s="301" t="s">
        <v>145</v>
      </c>
      <c r="G73" s="168" t="str">
        <f>CONCATENATE(E73,F73)</f>
        <v>Select Water ConservationChoose One</v>
      </c>
      <c r="H73" s="6"/>
      <c r="I73" s="172"/>
      <c r="K73" s="272"/>
      <c r="L73" s="269"/>
      <c r="M73" s="6"/>
      <c r="N73" s="273"/>
      <c r="O73" s="273"/>
      <c r="P73" s="164">
        <f>N73+O73</f>
        <v>0</v>
      </c>
    </row>
    <row r="74" spans="1:23">
      <c r="A74" s="265">
        <f>IFERROR(($I74-$M74)*VLOOKUP($G74,'Low Flow Faucets'!$A$26:$C$29,3,FALSE),0)</f>
        <v>0</v>
      </c>
      <c r="B74" s="298">
        <f>IFERROR(($I74-$M74)*VLOOKUP($G74,'Low Flow Faucets'!$A$22:$C$25,3,FALSE),0)</f>
        <v>0</v>
      </c>
      <c r="C74" s="282">
        <f>SUM(B74,(A74*3412.14/10^6))</f>
        <v>0</v>
      </c>
      <c r="E74" s="24" t="s">
        <v>152</v>
      </c>
      <c r="F74" s="301" t="s">
        <v>145</v>
      </c>
      <c r="G74" s="168" t="str">
        <f>CONCATENATE(E74,F74)</f>
        <v>Select Water ConservationChoose One</v>
      </c>
      <c r="H74" s="6"/>
      <c r="I74" s="172"/>
      <c r="K74" s="272"/>
      <c r="L74" s="269"/>
      <c r="M74" s="6"/>
      <c r="N74" s="273"/>
      <c r="O74" s="273"/>
      <c r="P74" s="164">
        <f>N74+O74</f>
        <v>0</v>
      </c>
    </row>
    <row r="75" spans="1:23">
      <c r="A75" s="265">
        <f>IFERROR(($I75-$M75)*VLOOKUP($G75,'Low Flow Faucets'!$A$26:$C$29,3,FALSE),0)</f>
        <v>0</v>
      </c>
      <c r="B75" s="298">
        <f>IFERROR(($I75-$M75)*VLOOKUP($G75,'Low Flow Faucets'!$A$22:$C$25,3,FALSE),0)</f>
        <v>0</v>
      </c>
      <c r="C75" s="282">
        <f>SUM(B75,(A75*3412.14/10^6))</f>
        <v>0</v>
      </c>
      <c r="E75" s="24" t="s">
        <v>152</v>
      </c>
      <c r="F75" s="301" t="s">
        <v>145</v>
      </c>
      <c r="G75" s="168" t="str">
        <f>CONCATENATE(E75,F75)</f>
        <v>Select Water ConservationChoose One</v>
      </c>
      <c r="H75" s="6"/>
      <c r="I75" s="172" t="str">
        <f>IFERROR(VLOOKUP(E75,'Lists &amp; Other References'!A$53:B$55,2,FALSE),"")</f>
        <v/>
      </c>
      <c r="K75" s="5"/>
      <c r="L75" s="6"/>
      <c r="M75" s="6"/>
      <c r="N75" s="273"/>
      <c r="O75" s="273"/>
      <c r="P75" s="164">
        <f>N75+O75</f>
        <v>0</v>
      </c>
    </row>
    <row r="76" spans="1:23">
      <c r="A76" s="265">
        <f>IFERROR(($I76-$M76)*VLOOKUP($G76,'Low Flow Faucets'!$A$26:$C$29,3,FALSE),0)</f>
        <v>0</v>
      </c>
      <c r="B76" s="298">
        <f>IFERROR(($I76-$M76)*VLOOKUP($G76,'Low Flow Faucets'!$A$22:$C$25,3,FALSE),0)</f>
        <v>0</v>
      </c>
      <c r="C76" s="282">
        <f>SUM(B76,(A76*3412.14/10^6))</f>
        <v>0</v>
      </c>
      <c r="E76" s="24" t="s">
        <v>152</v>
      </c>
      <c r="F76" s="301" t="s">
        <v>145</v>
      </c>
      <c r="G76" s="168" t="str">
        <f>CONCATENATE(E76,F76)</f>
        <v>Select Water ConservationChoose One</v>
      </c>
      <c r="H76" s="6"/>
      <c r="I76" s="172" t="str">
        <f>IFERROR(VLOOKUP(E76,'Lists &amp; Other References'!A$53:B$55,2,FALSE),"")</f>
        <v/>
      </c>
      <c r="K76" s="5"/>
      <c r="L76" s="6"/>
      <c r="M76" s="6"/>
      <c r="N76" s="273"/>
      <c r="O76" s="273"/>
      <c r="P76" s="164">
        <f>N76+O76</f>
        <v>0</v>
      </c>
    </row>
    <row r="77" spans="1:23" ht="15.75" thickBot="1">
      <c r="A77" s="265">
        <f>IFERROR(($I77-$M77)*VLOOKUP($G77,'Low Flow Faucets'!$A$26:$C$29,3,FALSE),0)</f>
        <v>0</v>
      </c>
      <c r="B77" s="298">
        <f>IFERROR(($I77-$M77)*VLOOKUP($G77,'Low Flow Faucets'!$A$22:$C$25,3,FALSE),0)</f>
        <v>0</v>
      </c>
      <c r="C77" s="282">
        <f>SUM(B77,(A77*3412.14/10^6))</f>
        <v>0</v>
      </c>
      <c r="E77" s="25" t="s">
        <v>152</v>
      </c>
      <c r="F77" s="302" t="s">
        <v>145</v>
      </c>
      <c r="G77" s="180" t="str">
        <f>CONCATENATE(E77,F77)</f>
        <v>Select Water ConservationChoose One</v>
      </c>
      <c r="H77" s="9"/>
      <c r="I77" s="303" t="str">
        <f>IFERROR(VLOOKUP(E77,'Lists &amp; Other References'!A$53:B$55,2,FALSE),"")</f>
        <v/>
      </c>
      <c r="K77" s="8"/>
      <c r="L77" s="9"/>
      <c r="M77" s="9"/>
      <c r="N77" s="277"/>
      <c r="O77" s="277"/>
      <c r="P77" s="177">
        <f>N77+O77</f>
        <v>0</v>
      </c>
    </row>
    <row r="78" spans="1:23" ht="15.75" thickBot="1">
      <c r="A78" s="278"/>
      <c r="B78" s="127" t="s">
        <v>82</v>
      </c>
      <c r="C78" s="128"/>
      <c r="E78" s="152"/>
      <c r="N78" s="168"/>
      <c r="U78" s="280"/>
      <c r="V78" s="280"/>
      <c r="W78" s="280"/>
    </row>
    <row r="79" spans="1:23" ht="16.5" thickBot="1">
      <c r="A79" s="123">
        <f>IFERROR(SUMPRODUCT(A73:A77,$H$73:$H$77),0)</f>
        <v>0</v>
      </c>
      <c r="B79" s="124">
        <f t="shared" ref="B79:C79" si="15">IFERROR(SUMPRODUCT(B73:B77,$H$73:$H$77),0)</f>
        <v>0</v>
      </c>
      <c r="C79" s="134">
        <f t="shared" si="15"/>
        <v>0</v>
      </c>
    </row>
    <row r="80" spans="1:23" ht="21.75" thickBot="1">
      <c r="A80" s="133"/>
      <c r="B80" s="132"/>
      <c r="C80" s="128"/>
      <c r="E80" s="148" t="s">
        <v>153</v>
      </c>
    </row>
    <row r="81" spans="1:23" ht="45">
      <c r="A81" s="117" t="s">
        <v>154</v>
      </c>
      <c r="B81" s="126" t="s">
        <v>155</v>
      </c>
      <c r="C81" s="119" t="s">
        <v>156</v>
      </c>
      <c r="F81" s="181" t="s">
        <v>157</v>
      </c>
      <c r="G81" s="150" t="s">
        <v>148</v>
      </c>
      <c r="H81" s="261" t="s">
        <v>158</v>
      </c>
      <c r="I81" s="261" t="s">
        <v>159</v>
      </c>
      <c r="J81" s="261" t="s">
        <v>160</v>
      </c>
      <c r="K81" s="150" t="s">
        <v>161</v>
      </c>
      <c r="L81" s="261" t="s">
        <v>162</v>
      </c>
      <c r="M81" s="261" t="s">
        <v>46</v>
      </c>
      <c r="N81" s="170" t="s">
        <v>163</v>
      </c>
      <c r="O81" s="182" t="s">
        <v>90</v>
      </c>
    </row>
    <row r="82" spans="1:23">
      <c r="A82" s="265">
        <f>IF(G82="Electric",'Pipe+Tank Insulation'!J3,0)</f>
        <v>0</v>
      </c>
      <c r="B82" s="298">
        <f>IF(G82="Gas",'Pipe+Tank Insulation'!J4,0)</f>
        <v>0</v>
      </c>
      <c r="C82" s="282">
        <f>SUM(B82,(A82*3412.14/10^6))</f>
        <v>0</v>
      </c>
      <c r="E82" s="183" t="s">
        <v>164</v>
      </c>
      <c r="F82" s="5"/>
      <c r="G82" s="109" t="s">
        <v>145</v>
      </c>
      <c r="H82" s="6"/>
      <c r="I82" s="269"/>
      <c r="J82" s="6"/>
      <c r="K82" s="6"/>
      <c r="L82" s="6"/>
      <c r="M82" s="273"/>
      <c r="N82" s="273"/>
      <c r="O82" s="164">
        <f>SUM(M82:N82)</f>
        <v>0</v>
      </c>
    </row>
    <row r="83" spans="1:23">
      <c r="A83" s="265">
        <f>IF(G83="Electric",'Pipe+Tank Insulation'!J8,0)</f>
        <v>0</v>
      </c>
      <c r="B83" s="298">
        <f>IF(G83="Gas",'Pipe+Tank Insulation'!J9,0)</f>
        <v>0</v>
      </c>
      <c r="C83" s="282">
        <f>SUM(B83,(A83*3412.14/10^6))</f>
        <v>0</v>
      </c>
      <c r="E83" s="184" t="s">
        <v>165</v>
      </c>
      <c r="F83" s="8"/>
      <c r="G83" s="109" t="s">
        <v>145</v>
      </c>
      <c r="H83" s="9"/>
      <c r="I83" s="9"/>
      <c r="J83" s="9"/>
      <c r="K83" s="9"/>
      <c r="L83" s="9"/>
      <c r="M83" s="277"/>
      <c r="N83" s="277"/>
      <c r="O83" s="177">
        <f>SUM(M83:N83)</f>
        <v>0</v>
      </c>
    </row>
    <row r="84" spans="1:23" ht="15.75" thickBot="1">
      <c r="A84" s="278"/>
      <c r="B84" s="127" t="s">
        <v>82</v>
      </c>
      <c r="C84" s="128"/>
      <c r="E84" s="152"/>
      <c r="N84" s="168"/>
      <c r="U84" s="280"/>
      <c r="V84" s="280"/>
      <c r="W84" s="280"/>
    </row>
    <row r="85" spans="1:23" ht="16.5" thickBot="1">
      <c r="A85" s="123">
        <f>IFERROR(SUM(A82:A83),0)</f>
        <v>0</v>
      </c>
      <c r="B85" s="124">
        <f>IFERROR(SUM(B82:B83),0)</f>
        <v>0</v>
      </c>
      <c r="C85" s="125">
        <f>IFERROR(SUM(C82:C83),0)</f>
        <v>0</v>
      </c>
    </row>
    <row r="86" spans="1:23" ht="19.5" thickBot="1">
      <c r="A86" s="133"/>
      <c r="B86" s="132"/>
      <c r="C86" s="128"/>
      <c r="E86" s="185" t="s">
        <v>166</v>
      </c>
    </row>
    <row r="87" spans="1:23" ht="45" customHeight="1" thickBot="1">
      <c r="A87" s="117" t="s">
        <v>75</v>
      </c>
      <c r="B87" s="126"/>
      <c r="C87" s="119" t="s">
        <v>77</v>
      </c>
      <c r="E87" s="257" t="s">
        <v>167</v>
      </c>
      <c r="F87" s="149" t="s">
        <v>168</v>
      </c>
      <c r="G87" s="261" t="s">
        <v>169</v>
      </c>
      <c r="H87" s="150" t="s">
        <v>89</v>
      </c>
      <c r="I87" s="150" t="s">
        <v>124</v>
      </c>
      <c r="J87" s="263" t="s">
        <v>170</v>
      </c>
      <c r="L87" s="149" t="s">
        <v>67</v>
      </c>
      <c r="M87" s="261" t="s">
        <v>141</v>
      </c>
      <c r="N87" s="150" t="s">
        <v>91</v>
      </c>
      <c r="O87" s="150" t="s">
        <v>92</v>
      </c>
      <c r="P87" s="182" t="s">
        <v>74</v>
      </c>
    </row>
    <row r="88" spans="1:23">
      <c r="A88" s="265" t="str">
        <f>IFERROR(VLOOKUP(E88,'Lists &amp; Other References'!A$58:B$62,2,FALSE)*'IQEF Intake Form'!F88,"-")</f>
        <v>-</v>
      </c>
      <c r="B88" s="304"/>
      <c r="C88" s="295" t="str">
        <f>IFERROR(SUM(B88,(A88*3412.14/10^6)),"-")</f>
        <v>-</v>
      </c>
      <c r="E88" s="112" t="s">
        <v>171</v>
      </c>
      <c r="F88" s="5"/>
      <c r="G88" s="305"/>
      <c r="H88" s="6"/>
      <c r="I88" s="6"/>
      <c r="J88" s="28" t="s">
        <v>145</v>
      </c>
      <c r="L88" s="272"/>
      <c r="M88" s="269"/>
      <c r="N88" s="273"/>
      <c r="O88" s="273"/>
      <c r="P88" s="186">
        <f t="shared" ref="P88:P93" si="16">SUM(N88:O88)</f>
        <v>0</v>
      </c>
    </row>
    <row r="89" spans="1:23">
      <c r="A89" s="265" t="str">
        <f>IFERROR(VLOOKUP(E89,'Lists &amp; Other References'!A$58:B$62,2,FALSE)*'IQEF Intake Form'!F89,"-")</f>
        <v>-</v>
      </c>
      <c r="B89" s="304"/>
      <c r="C89" s="295" t="str">
        <f t="shared" ref="C89:C93" si="17">IFERROR(SUM(B89,(A89*3412.14/10^6)),"-")</f>
        <v>-</v>
      </c>
      <c r="E89" s="113" t="s">
        <v>171</v>
      </c>
      <c r="F89" s="5"/>
      <c r="G89" s="305"/>
      <c r="H89" s="6"/>
      <c r="I89" s="6"/>
      <c r="J89" s="28" t="s">
        <v>145</v>
      </c>
      <c r="L89" s="272"/>
      <c r="M89" s="269"/>
      <c r="N89" s="273"/>
      <c r="O89" s="273"/>
      <c r="P89" s="186">
        <f t="shared" si="16"/>
        <v>0</v>
      </c>
    </row>
    <row r="90" spans="1:23">
      <c r="A90" s="265" t="str">
        <f>IFERROR(VLOOKUP(E90,'Lists &amp; Other References'!A$58:B$62,2,FALSE)*'IQEF Intake Form'!F90,"-")</f>
        <v>-</v>
      </c>
      <c r="B90" s="304"/>
      <c r="C90" s="295" t="str">
        <f t="shared" si="17"/>
        <v>-</v>
      </c>
      <c r="E90" s="113"/>
      <c r="F90" s="5"/>
      <c r="G90" s="305"/>
      <c r="H90" s="6"/>
      <c r="I90" s="6"/>
      <c r="J90" s="28" t="s">
        <v>145</v>
      </c>
      <c r="L90" s="5"/>
      <c r="M90" s="6"/>
      <c r="N90" s="273"/>
      <c r="O90" s="273"/>
      <c r="P90" s="186">
        <f t="shared" si="16"/>
        <v>0</v>
      </c>
    </row>
    <row r="91" spans="1:23">
      <c r="A91" s="265" t="str">
        <f>IFERROR(VLOOKUP(E91,'Lists &amp; Other References'!A$58:B$62,2,FALSE)*'IQEF Intake Form'!F91,"-")</f>
        <v>-</v>
      </c>
      <c r="B91" s="304"/>
      <c r="C91" s="295" t="str">
        <f t="shared" si="17"/>
        <v>-</v>
      </c>
      <c r="E91" s="113"/>
      <c r="F91" s="5"/>
      <c r="G91" s="305"/>
      <c r="H91" s="6"/>
      <c r="I91" s="6"/>
      <c r="J91" s="28" t="s">
        <v>145</v>
      </c>
      <c r="L91" s="5"/>
      <c r="M91" s="6"/>
      <c r="N91" s="273"/>
      <c r="O91" s="273"/>
      <c r="P91" s="186">
        <f t="shared" si="16"/>
        <v>0</v>
      </c>
    </row>
    <row r="92" spans="1:23">
      <c r="A92" s="265" t="str">
        <f>IFERROR(VLOOKUP(E92,'Lists &amp; Other References'!A$58:B$62,2,FALSE)*'IQEF Intake Form'!F92,"-")</f>
        <v>-</v>
      </c>
      <c r="B92" s="304"/>
      <c r="C92" s="295" t="str">
        <f t="shared" si="17"/>
        <v>-</v>
      </c>
      <c r="E92" s="113"/>
      <c r="F92" s="5"/>
      <c r="G92" s="305"/>
      <c r="H92" s="6"/>
      <c r="I92" s="6"/>
      <c r="J92" s="28" t="s">
        <v>145</v>
      </c>
      <c r="L92" s="5"/>
      <c r="M92" s="6"/>
      <c r="N92" s="273"/>
      <c r="O92" s="273"/>
      <c r="P92" s="186">
        <f t="shared" si="16"/>
        <v>0</v>
      </c>
    </row>
    <row r="93" spans="1:23" ht="15.75" thickBot="1">
      <c r="A93" s="265" t="str">
        <f>IFERROR(VLOOKUP(E93,'Lists &amp; Other References'!A$58:B$62,2,FALSE)*'IQEF Intake Form'!F93,"-")</f>
        <v>-</v>
      </c>
      <c r="B93" s="304"/>
      <c r="C93" s="295" t="str">
        <f t="shared" si="17"/>
        <v>-</v>
      </c>
      <c r="E93" s="114"/>
      <c r="F93" s="8"/>
      <c r="G93" s="306"/>
      <c r="H93" s="9"/>
      <c r="I93" s="9"/>
      <c r="J93" s="29" t="s">
        <v>145</v>
      </c>
      <c r="L93" s="8"/>
      <c r="M93" s="9"/>
      <c r="N93" s="277"/>
      <c r="O93" s="277"/>
      <c r="P93" s="177">
        <f t="shared" si="16"/>
        <v>0</v>
      </c>
    </row>
    <row r="94" spans="1:23" ht="15.75" thickBot="1">
      <c r="A94" s="278"/>
      <c r="B94" s="127" t="s">
        <v>82</v>
      </c>
      <c r="C94" s="128"/>
      <c r="N94" s="168"/>
      <c r="U94" s="280"/>
      <c r="V94" s="280"/>
      <c r="W94" s="280"/>
    </row>
    <row r="95" spans="1:23" ht="16.5" thickBot="1">
      <c r="A95" s="123">
        <f>IFERROR(SUMPRODUCT(A88:A93,$H$88:$H$93),0)</f>
        <v>0</v>
      </c>
      <c r="B95" s="124">
        <f>IFERROR(SUMPRODUCT(B88:B93,$H$88:$H$93),0)</f>
        <v>0</v>
      </c>
      <c r="C95" s="125">
        <f>IFERROR(SUMPRODUCT(C88:C93,$H$88:$H$93),0)</f>
        <v>0</v>
      </c>
      <c r="I95" s="168"/>
    </row>
    <row r="96" spans="1:23" ht="18.75">
      <c r="A96" s="133"/>
      <c r="B96" s="132"/>
      <c r="C96" s="128"/>
      <c r="E96" s="185" t="s">
        <v>172</v>
      </c>
    </row>
    <row r="97" spans="1:23" ht="15.75" thickBot="1">
      <c r="A97" s="133"/>
      <c r="B97" s="132"/>
      <c r="C97" s="128"/>
      <c r="E97" s="178" t="s">
        <v>173</v>
      </c>
    </row>
    <row r="98" spans="1:23" ht="45.75" thickBot="1">
      <c r="A98" s="117" t="s">
        <v>75</v>
      </c>
      <c r="B98" s="126"/>
      <c r="C98" s="119" t="s">
        <v>77</v>
      </c>
      <c r="E98" s="257" t="s">
        <v>123</v>
      </c>
      <c r="F98" s="149" t="s">
        <v>124</v>
      </c>
      <c r="G98" s="187" t="s">
        <v>174</v>
      </c>
      <c r="H98" s="261" t="s">
        <v>175</v>
      </c>
      <c r="I98" s="188" t="s">
        <v>89</v>
      </c>
      <c r="K98" s="149" t="s">
        <v>67</v>
      </c>
      <c r="L98" s="170" t="s">
        <v>141</v>
      </c>
      <c r="M98" s="150" t="s">
        <v>91</v>
      </c>
      <c r="N98" s="261" t="s">
        <v>92</v>
      </c>
      <c r="O98" s="182" t="s">
        <v>74</v>
      </c>
    </row>
    <row r="99" spans="1:23">
      <c r="A99" s="265">
        <f>IFERROR(IF(E99='Lists &amp; Other References'!A79,0,G99*(1/1.4-1/H99)/1000*$F99),0)</f>
        <v>0</v>
      </c>
      <c r="B99" s="298"/>
      <c r="C99" s="282">
        <f>IFERROR(SUM(B99,(A99*3412.14/10^6)),)</f>
        <v>0</v>
      </c>
      <c r="E99" s="23" t="s">
        <v>176</v>
      </c>
      <c r="F99" s="5"/>
      <c r="G99" s="6"/>
      <c r="H99" s="6"/>
      <c r="I99" s="7"/>
      <c r="K99" s="272"/>
      <c r="L99" s="269"/>
      <c r="M99" s="273"/>
      <c r="N99" s="273"/>
      <c r="O99" s="164">
        <f>SUM(M99:N99)</f>
        <v>0</v>
      </c>
    </row>
    <row r="100" spans="1:23" ht="15.75" thickBot="1">
      <c r="A100" s="265">
        <f>IFERROR(IF(E100='Lists &amp; Other References'!A80,0,G100*(1/1.4-1/H100)/1000*$F100),0)</f>
        <v>0</v>
      </c>
      <c r="B100" s="298"/>
      <c r="C100" s="282">
        <f>IFERROR(SUM(B100,(A100*3412.14/10^6)),0)</f>
        <v>0</v>
      </c>
      <c r="E100" s="25" t="s">
        <v>80</v>
      </c>
      <c r="F100" s="8"/>
      <c r="G100" s="9"/>
      <c r="H100" s="9"/>
      <c r="I100" s="10"/>
      <c r="K100" s="8"/>
      <c r="L100" s="9"/>
      <c r="M100" s="277"/>
      <c r="N100" s="277"/>
      <c r="O100" s="177">
        <f>SUM(M100:N100)</f>
        <v>0</v>
      </c>
    </row>
    <row r="101" spans="1:23" ht="15.75" thickBot="1">
      <c r="A101" s="278"/>
      <c r="B101" s="127" t="s">
        <v>82</v>
      </c>
      <c r="C101" s="128"/>
      <c r="E101" s="152"/>
      <c r="N101" s="168"/>
      <c r="U101" s="280"/>
      <c r="V101" s="280"/>
      <c r="W101" s="280"/>
    </row>
    <row r="102" spans="1:23" ht="16.5" thickBot="1">
      <c r="A102" s="123">
        <f>IFERROR(SUMPRODUCT(A99:A100,$I$99:$I$100),0)</f>
        <v>0</v>
      </c>
      <c r="B102" s="124">
        <f t="shared" ref="B102:C102" si="18">IFERROR(SUMPRODUCT(B99:B100,$I$99:$I$100),0)</f>
        <v>0</v>
      </c>
      <c r="C102" s="125">
        <f t="shared" si="18"/>
        <v>0</v>
      </c>
    </row>
    <row r="103" spans="1:23" ht="18.75">
      <c r="A103" s="307" t="s">
        <v>177</v>
      </c>
      <c r="B103" s="308" t="s">
        <v>178</v>
      </c>
      <c r="C103" s="309" t="s">
        <v>179</v>
      </c>
      <c r="E103" s="185" t="s">
        <v>180</v>
      </c>
    </row>
    <row r="104" spans="1:23" ht="19.5" thickBot="1">
      <c r="A104" s="102">
        <f>SUM(A102,A95,A85,A79,A69,A53,A49,A61,A38,A30)</f>
        <v>0</v>
      </c>
      <c r="B104" s="135">
        <f>SUM(B102,B95,B85,B79,B69,B53,B49,B61,B38)</f>
        <v>0</v>
      </c>
      <c r="C104" s="136">
        <f>C102+C95+C85+C79+C69+C53+C49+C61+C38+C30</f>
        <v>0</v>
      </c>
      <c r="E104" s="189"/>
    </row>
    <row r="105" spans="1:23" ht="15.75" thickBot="1">
      <c r="A105" s="137"/>
      <c r="C105" s="138"/>
    </row>
    <row r="106" spans="1:23" ht="33">
      <c r="A106" s="310" t="s">
        <v>181</v>
      </c>
      <c r="B106" s="311" t="s">
        <v>182</v>
      </c>
      <c r="C106" s="311" t="s">
        <v>183</v>
      </c>
      <c r="D106" s="312" t="s">
        <v>184</v>
      </c>
    </row>
    <row r="107" spans="1:23" ht="19.5" thickBot="1">
      <c r="A107" s="193" t="e">
        <f>J4/(A104/1000)</f>
        <v>#DIV/0!</v>
      </c>
      <c r="B107" s="194" t="e">
        <f>J4/B104</f>
        <v>#DIV/0!</v>
      </c>
      <c r="C107" s="194" t="e">
        <f>J4/(C104)</f>
        <v>#DIV/0!</v>
      </c>
      <c r="D107" s="192" t="e">
        <f>J4/(A104/1000*'Lists &amp; Other References'!H2+'IQEF Intake Form'!B104*'Lists &amp; Other References'!H3)</f>
        <v>#DIV/0!</v>
      </c>
    </row>
    <row r="108" spans="1:23" ht="30.75" thickBot="1">
      <c r="A108" s="313" t="s">
        <v>185</v>
      </c>
      <c r="B108" s="314" t="s">
        <v>186</v>
      </c>
      <c r="C108" s="314" t="s">
        <v>187</v>
      </c>
      <c r="D108" s="315" t="s">
        <v>187</v>
      </c>
    </row>
    <row r="109" spans="1:23" ht="18.75">
      <c r="E109" s="220" t="s">
        <v>188</v>
      </c>
    </row>
    <row r="111" spans="1:23" ht="19.5" thickBot="1">
      <c r="E111" s="185" t="s">
        <v>189</v>
      </c>
    </row>
    <row r="112" spans="1:23" ht="30.75" thickBot="1">
      <c r="E112" s="257" t="s">
        <v>123</v>
      </c>
      <c r="F112" s="288" t="s">
        <v>190</v>
      </c>
      <c r="G112" s="187" t="s">
        <v>89</v>
      </c>
      <c r="H112" s="263" t="s">
        <v>191</v>
      </c>
      <c r="J112" s="149" t="s">
        <v>67</v>
      </c>
      <c r="K112" s="170" t="s">
        <v>141</v>
      </c>
      <c r="L112" s="150" t="s">
        <v>91</v>
      </c>
      <c r="M112" s="261" t="s">
        <v>92</v>
      </c>
      <c r="N112" s="182" t="s">
        <v>74</v>
      </c>
    </row>
    <row r="113" spans="5:15">
      <c r="E113" s="112" t="s">
        <v>192</v>
      </c>
      <c r="F113" s="5"/>
      <c r="G113" s="6"/>
      <c r="H113" s="222" t="s">
        <v>145</v>
      </c>
      <c r="J113" s="272"/>
      <c r="K113" s="269"/>
      <c r="L113" s="273"/>
      <c r="M113" s="273"/>
      <c r="N113" s="164">
        <f>SUM(L113:M113)</f>
        <v>0</v>
      </c>
    </row>
    <row r="114" spans="5:15">
      <c r="E114" s="113" t="s">
        <v>176</v>
      </c>
      <c r="F114" s="5"/>
      <c r="G114" s="6"/>
      <c r="H114" s="222" t="s">
        <v>145</v>
      </c>
      <c r="J114" s="5"/>
      <c r="K114" s="6"/>
      <c r="L114" s="273"/>
      <c r="M114" s="273"/>
      <c r="N114" s="186">
        <f>SUM(L114:M114)</f>
        <v>0</v>
      </c>
    </row>
    <row r="115" spans="5:15" ht="15.75" thickBot="1">
      <c r="E115" s="114" t="s">
        <v>176</v>
      </c>
      <c r="F115" s="8"/>
      <c r="G115" s="9"/>
      <c r="H115" s="223" t="s">
        <v>145</v>
      </c>
      <c r="J115" s="8"/>
      <c r="K115" s="9"/>
      <c r="L115" s="277"/>
      <c r="M115" s="277"/>
      <c r="N115" s="177">
        <f>SUM(L115:M115)</f>
        <v>0</v>
      </c>
    </row>
    <row r="117" spans="5:15" ht="18.75">
      <c r="E117" s="185" t="s">
        <v>193</v>
      </c>
    </row>
    <row r="118" spans="5:15" ht="35.25" thickBot="1">
      <c r="E118" s="169" t="s">
        <v>194</v>
      </c>
      <c r="G118" s="169" t="s">
        <v>195</v>
      </c>
      <c r="H118" s="169" t="s">
        <v>196</v>
      </c>
      <c r="L118" s="255" t="s">
        <v>197</v>
      </c>
      <c r="M118" s="255"/>
      <c r="N118" s="255"/>
    </row>
    <row r="119" spans="5:15" ht="45.75" thickBot="1">
      <c r="E119" s="300" t="s">
        <v>198</v>
      </c>
      <c r="F119" s="288" t="s">
        <v>199</v>
      </c>
      <c r="G119" s="261" t="s">
        <v>200</v>
      </c>
      <c r="H119" s="261" t="s">
        <v>201</v>
      </c>
      <c r="I119" s="261" t="s">
        <v>202</v>
      </c>
      <c r="J119" s="263" t="s">
        <v>203</v>
      </c>
      <c r="L119" s="288" t="s">
        <v>204</v>
      </c>
      <c r="M119" s="150" t="s">
        <v>91</v>
      </c>
      <c r="N119" s="261" t="s">
        <v>92</v>
      </c>
      <c r="O119" s="182" t="s">
        <v>74</v>
      </c>
    </row>
    <row r="120" spans="5:15" ht="54.95" customHeight="1">
      <c r="E120" s="224"/>
      <c r="F120" s="5"/>
      <c r="G120" s="6"/>
      <c r="H120" s="6"/>
      <c r="I120" s="6"/>
      <c r="J120" s="7"/>
      <c r="L120" s="272"/>
      <c r="M120" s="273"/>
      <c r="N120" s="273"/>
      <c r="O120" s="164">
        <f>SUM(M120:N120)</f>
        <v>0</v>
      </c>
    </row>
    <row r="121" spans="5:15" ht="54.95" customHeight="1">
      <c r="E121" s="226"/>
      <c r="F121" s="5"/>
      <c r="G121" s="6"/>
      <c r="H121" s="6"/>
      <c r="I121" s="6"/>
      <c r="J121" s="7"/>
      <c r="L121" s="5"/>
      <c r="M121" s="273"/>
      <c r="N121" s="273"/>
      <c r="O121" s="186">
        <f>SUM(M121:N121)</f>
        <v>0</v>
      </c>
    </row>
    <row r="122" spans="5:15" ht="54.95" customHeight="1" thickBot="1">
      <c r="E122" s="225"/>
      <c r="F122" s="8"/>
      <c r="G122" s="9"/>
      <c r="H122" s="9"/>
      <c r="I122" s="9"/>
      <c r="J122" s="10"/>
      <c r="L122" s="8"/>
      <c r="M122" s="9"/>
      <c r="N122" s="277"/>
      <c r="O122" s="177">
        <f>SUM(M122:N122)</f>
        <v>0</v>
      </c>
    </row>
    <row r="125" spans="5:15" ht="18.75">
      <c r="E125" s="185" t="s">
        <v>205</v>
      </c>
    </row>
    <row r="126" spans="5:15" ht="67.5" customHeight="1" thickBot="1">
      <c r="E126" s="169" t="s">
        <v>206</v>
      </c>
      <c r="F126" s="169" t="s">
        <v>207</v>
      </c>
      <c r="G126" s="169" t="s">
        <v>208</v>
      </c>
      <c r="H126" s="169" t="s">
        <v>209</v>
      </c>
      <c r="I126" s="169" t="s">
        <v>210</v>
      </c>
      <c r="K126" s="243"/>
      <c r="L126" s="243"/>
      <c r="M126" s="221"/>
    </row>
    <row r="127" spans="5:15" ht="60.75" thickBot="1">
      <c r="E127" s="300" t="s">
        <v>211</v>
      </c>
      <c r="F127" s="288" t="s">
        <v>212</v>
      </c>
      <c r="G127" s="261" t="s">
        <v>213</v>
      </c>
      <c r="H127" s="261" t="s">
        <v>214</v>
      </c>
      <c r="I127" s="263" t="s">
        <v>215</v>
      </c>
      <c r="K127" s="288" t="s">
        <v>213</v>
      </c>
      <c r="L127" s="150" t="s">
        <v>91</v>
      </c>
      <c r="M127" s="261" t="s">
        <v>92</v>
      </c>
      <c r="N127" s="182" t="s">
        <v>74</v>
      </c>
    </row>
    <row r="128" spans="5:15" ht="54.95" customHeight="1">
      <c r="E128" s="224"/>
      <c r="F128" s="5"/>
      <c r="G128" s="6"/>
      <c r="H128" s="6"/>
      <c r="I128" s="7"/>
      <c r="K128" s="272"/>
      <c r="L128" s="273"/>
      <c r="M128" s="273"/>
      <c r="N128" s="164">
        <f>SUM(L128:M128)</f>
        <v>0</v>
      </c>
    </row>
    <row r="129" spans="5:14" ht="54.95" customHeight="1" thickBot="1">
      <c r="E129" s="225"/>
      <c r="F129" s="8"/>
      <c r="G129" s="9"/>
      <c r="H129" s="9"/>
      <c r="I129" s="10"/>
      <c r="K129" s="8"/>
      <c r="L129" s="277"/>
      <c r="M129" s="277"/>
      <c r="N129" s="177">
        <f>SUM(L129:M129)</f>
        <v>0</v>
      </c>
    </row>
    <row r="132" spans="5:14" ht="18.75">
      <c r="E132" s="185" t="s">
        <v>216</v>
      </c>
    </row>
    <row r="133" spans="5:14" ht="15.75" thickBot="1">
      <c r="E133" s="189" t="s">
        <v>217</v>
      </c>
    </row>
    <row r="134" spans="5:14">
      <c r="E134" s="244"/>
      <c r="F134" s="245"/>
      <c r="G134" s="245"/>
      <c r="H134" s="245"/>
      <c r="I134" s="245"/>
      <c r="J134" s="245"/>
      <c r="K134" s="245"/>
      <c r="L134" s="245"/>
      <c r="M134" s="246"/>
    </row>
    <row r="135" spans="5:14">
      <c r="E135" s="247"/>
      <c r="F135" s="248"/>
      <c r="G135" s="248"/>
      <c r="H135" s="248"/>
      <c r="I135" s="248"/>
      <c r="J135" s="248"/>
      <c r="K135" s="248"/>
      <c r="L135" s="248"/>
      <c r="M135" s="249"/>
    </row>
    <row r="136" spans="5:14">
      <c r="E136" s="247"/>
      <c r="F136" s="248"/>
      <c r="G136" s="248"/>
      <c r="H136" s="248"/>
      <c r="I136" s="248"/>
      <c r="J136" s="248"/>
      <c r="K136" s="248"/>
      <c r="L136" s="248"/>
      <c r="M136" s="249"/>
    </row>
    <row r="137" spans="5:14">
      <c r="E137" s="247"/>
      <c r="F137" s="248"/>
      <c r="G137" s="248"/>
      <c r="H137" s="248"/>
      <c r="I137" s="248"/>
      <c r="J137" s="248"/>
      <c r="K137" s="248"/>
      <c r="L137" s="248"/>
      <c r="M137" s="249"/>
    </row>
    <row r="138" spans="5:14">
      <c r="E138" s="247"/>
      <c r="F138" s="248"/>
      <c r="G138" s="248"/>
      <c r="H138" s="248"/>
      <c r="I138" s="248"/>
      <c r="J138" s="248"/>
      <c r="K138" s="248"/>
      <c r="L138" s="248"/>
      <c r="M138" s="249"/>
    </row>
    <row r="139" spans="5:14">
      <c r="E139" s="247"/>
      <c r="F139" s="248"/>
      <c r="G139" s="248"/>
      <c r="H139" s="248"/>
      <c r="I139" s="248"/>
      <c r="J139" s="248"/>
      <c r="K139" s="248"/>
      <c r="L139" s="248"/>
      <c r="M139" s="249"/>
    </row>
    <row r="140" spans="5:14">
      <c r="E140" s="247"/>
      <c r="F140" s="248"/>
      <c r="G140" s="248"/>
      <c r="H140" s="248"/>
      <c r="I140" s="248"/>
      <c r="J140" s="248"/>
      <c r="K140" s="248"/>
      <c r="L140" s="248"/>
      <c r="M140" s="249"/>
    </row>
    <row r="141" spans="5:14">
      <c r="E141" s="247"/>
      <c r="F141" s="248"/>
      <c r="G141" s="248"/>
      <c r="H141" s="248"/>
      <c r="I141" s="248"/>
      <c r="J141" s="248"/>
      <c r="K141" s="248"/>
      <c r="L141" s="248"/>
      <c r="M141" s="249"/>
    </row>
    <row r="142" spans="5:14">
      <c r="E142" s="247"/>
      <c r="F142" s="248"/>
      <c r="G142" s="248"/>
      <c r="H142" s="248"/>
      <c r="I142" s="248"/>
      <c r="J142" s="248"/>
      <c r="K142" s="248"/>
      <c r="L142" s="248"/>
      <c r="M142" s="249"/>
    </row>
    <row r="143" spans="5:14">
      <c r="E143" s="247"/>
      <c r="F143" s="248"/>
      <c r="G143" s="248"/>
      <c r="H143" s="248"/>
      <c r="I143" s="248"/>
      <c r="J143" s="248"/>
      <c r="K143" s="248"/>
      <c r="L143" s="248"/>
      <c r="M143" s="249"/>
    </row>
    <row r="144" spans="5:14">
      <c r="E144" s="247"/>
      <c r="F144" s="248"/>
      <c r="G144" s="248"/>
      <c r="H144" s="248"/>
      <c r="I144" s="248"/>
      <c r="J144" s="248"/>
      <c r="K144" s="248"/>
      <c r="L144" s="248"/>
      <c r="M144" s="249"/>
    </row>
    <row r="145" spans="5:13" ht="15.75" thickBot="1">
      <c r="E145" s="250"/>
      <c r="F145" s="251"/>
      <c r="G145" s="251"/>
      <c r="H145" s="251"/>
      <c r="I145" s="251"/>
      <c r="J145" s="251"/>
      <c r="K145" s="251"/>
      <c r="L145" s="251"/>
      <c r="M145" s="252"/>
    </row>
  </sheetData>
  <mergeCells count="6">
    <mergeCell ref="K126:L126"/>
    <mergeCell ref="E134:M145"/>
    <mergeCell ref="H4:I4"/>
    <mergeCell ref="H2:I2"/>
    <mergeCell ref="H3:I3"/>
    <mergeCell ref="L118:N118"/>
  </mergeCells>
  <phoneticPr fontId="37" type="noConversion"/>
  <conditionalFormatting sqref="I9:I28">
    <cfRule type="notContainsText" dxfId="39" priority="21" operator="notContains" text="Choose Location First">
      <formula>ISERROR(SEARCH("Choose Location First",I9))</formula>
    </cfRule>
  </conditionalFormatting>
  <conditionalFormatting sqref="J9:J28">
    <cfRule type="cellIs" dxfId="38" priority="19" operator="between">
      <formula>0</formula>
      <formula>8760</formula>
    </cfRule>
    <cfRule type="containsText" dxfId="37" priority="26" operator="containsText" text="Type Hours Here">
      <formula>NOT(ISERROR(SEARCH("Type Hours Here",J9)))</formula>
    </cfRule>
  </conditionalFormatting>
  <conditionalFormatting sqref="J36">
    <cfRule type="containsText" dxfId="36" priority="23" operator="containsText" text="Type Hours Here">
      <formula>NOT(ISERROR(SEARCH("Type Hours Here",J36)))</formula>
    </cfRule>
  </conditionalFormatting>
  <conditionalFormatting sqref="N113:N115">
    <cfRule type="cellIs" dxfId="35" priority="3" operator="equal">
      <formula>0</formula>
    </cfRule>
  </conditionalFormatting>
  <conditionalFormatting sqref="N128:N129">
    <cfRule type="cellIs" dxfId="34" priority="1" operator="equal">
      <formula>0</formula>
    </cfRule>
  </conditionalFormatting>
  <conditionalFormatting sqref="O120:O122">
    <cfRule type="cellIs" dxfId="33" priority="2" operator="equal">
      <formula>0</formula>
    </cfRule>
  </conditionalFormatting>
  <conditionalFormatting sqref="P9:P28 I73:I77">
    <cfRule type="containsBlanks" dxfId="32" priority="25">
      <formula>LEN(TRIM(I9))=0</formula>
    </cfRule>
  </conditionalFormatting>
  <conditionalFormatting sqref="P9:P28 J32:J36 I73:I77">
    <cfRule type="notContainsBlanks" dxfId="31" priority="24">
      <formula>LEN(TRIM(I9))&gt;0</formula>
    </cfRule>
  </conditionalFormatting>
  <conditionalFormatting sqref="W37">
    <cfRule type="cellIs" dxfId="30" priority="15" operator="greaterThan">
      <formula>0</formula>
    </cfRule>
  </conditionalFormatting>
  <conditionalFormatting sqref="W48">
    <cfRule type="cellIs" dxfId="29" priority="11" operator="greaterThan">
      <formula>0</formula>
    </cfRule>
  </conditionalFormatting>
  <conditionalFormatting sqref="W52">
    <cfRule type="cellIs" dxfId="28" priority="10" operator="greaterThan">
      <formula>0</formula>
    </cfRule>
  </conditionalFormatting>
  <conditionalFormatting sqref="W60">
    <cfRule type="cellIs" dxfId="27" priority="12" operator="greaterThan">
      <formula>0</formula>
    </cfRule>
  </conditionalFormatting>
  <conditionalFormatting sqref="W68">
    <cfRule type="cellIs" dxfId="26" priority="9" operator="greaterThan">
      <formula>0</formula>
    </cfRule>
  </conditionalFormatting>
  <conditionalFormatting sqref="W78">
    <cfRule type="cellIs" dxfId="25" priority="8" operator="greaterThan">
      <formula>0</formula>
    </cfRule>
  </conditionalFormatting>
  <conditionalFormatting sqref="W84">
    <cfRule type="cellIs" dxfId="24" priority="7" operator="greaterThan">
      <formula>0</formula>
    </cfRule>
  </conditionalFormatting>
  <conditionalFormatting sqref="W94">
    <cfRule type="cellIs" dxfId="23" priority="6" operator="greaterThan">
      <formula>0</formula>
    </cfRule>
  </conditionalFormatting>
  <conditionalFormatting sqref="W101">
    <cfRule type="cellIs" dxfId="22" priority="5" operator="greaterThan">
      <formula>0</formula>
    </cfRule>
  </conditionalFormatting>
  <conditionalFormatting sqref="X9:X28 O32:O36 AG42:AG47 Q51 V57:V59 T65:T67 P73:P77 O82:O83 P88:P93 O99:O100">
    <cfRule type="cellIs" dxfId="21" priority="4" operator="equal">
      <formula>0</formula>
    </cfRule>
  </conditionalFormatting>
  <dataValidations count="2">
    <dataValidation type="list" allowBlank="1" showInputMessage="1" showErrorMessage="1" sqref="T101 T37 T60 T48 T52 T68 T78 T84 T94 T29" xr:uid="{90820ABD-F687-48BF-8FAE-8939800ABD19}">
      <formula1>"Energy Star, DLC, Not Listed"</formula1>
    </dataValidation>
    <dataValidation type="list" allowBlank="1" showInputMessage="1" showErrorMessage="1" sqref="U9:U28" xr:uid="{1E8A02C7-502D-466F-AC89-B1D6EB3E75AD}">
      <formula1>"Select, Energy Star, DLC, Not Listed"</formula1>
    </dataValidation>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22">
        <x14:dataValidation type="list" allowBlank="1" showInputMessage="1" showErrorMessage="1" promptTitle="Choose Location" prompt="Choose one of the following locations._x000a_If Other, type existing operating hours." xr:uid="{414CA877-1169-4FCB-AE1D-224FA712589D}">
          <x14:formula1>
            <xm:f>Lighting!$A$2:$A$9</xm:f>
          </x14:formula1>
          <xm:sqref>H101 H37 H60 H48 H52 H68 H78 H84 H94 H9:H29</xm:sqref>
        </x14:dataValidation>
        <x14:dataValidation type="list" allowBlank="1" showInputMessage="1" showErrorMessage="1" xr:uid="{C95C63E7-8053-439D-9FA5-169DBFB70C89}">
          <x14:formula1>
            <xm:f>'Lists &amp; Other References'!$A$36:$A$41</xm:f>
          </x14:formula1>
          <xm:sqref>E57:E59</xm:sqref>
        </x14:dataValidation>
        <x14:dataValidation type="list" allowBlank="1" showInputMessage="1" showErrorMessage="1" xr:uid="{9FF43E19-72FB-4560-A230-5C931AFD42D8}">
          <x14:formula1>
            <xm:f>'Lists &amp; Other References'!$A$52:$A$55</xm:f>
          </x14:formula1>
          <xm:sqref>E73:E77</xm:sqref>
        </x14:dataValidation>
        <x14:dataValidation type="list" allowBlank="1" showInputMessage="1" showErrorMessage="1" xr:uid="{18E56A86-BEB6-4425-B664-D6F427A4ED01}">
          <x14:formula1>
            <xm:f>'Lists &amp; Other References'!$A$20:$A$32</xm:f>
          </x14:formula1>
          <xm:sqref>E32:E36</xm:sqref>
        </x14:dataValidation>
        <x14:dataValidation type="list" allowBlank="1" showInputMessage="1" showErrorMessage="1" xr:uid="{7E143932-4ED8-40F3-8BFC-316E4612B4BE}">
          <x14:formula1>
            <xm:f>'Lists &amp; Other References'!$A$43:$A$49</xm:f>
          </x14:formula1>
          <xm:sqref>E42:E47</xm:sqref>
        </x14:dataValidation>
        <x14:dataValidation type="list" allowBlank="1" showInputMessage="1" showErrorMessage="1" xr:uid="{B7E48109-0506-4F97-866A-EDD0AE5EE15E}">
          <x14:formula1>
            <xm:f>'Lists &amp; Other References'!$C$1:$C$3</xm:f>
          </x14:formula1>
          <xm:sqref>F73:F77 G65:G67 G82:G83 H113:H115</xm:sqref>
        </x14:dataValidation>
        <x14:dataValidation type="list" allowBlank="1" showInputMessage="1" showErrorMessage="1" xr:uid="{AA967F5E-2B01-4731-8A5C-19C65009E56C}">
          <x14:formula1>
            <xm:f>'Lists &amp; Other References'!$D$1:$D$3</xm:f>
          </x14:formula1>
          <xm:sqref>N51 I51</xm:sqref>
        </x14:dataValidation>
        <x14:dataValidation type="list" allowBlank="1" showInputMessage="1" showErrorMessage="1" xr:uid="{EE3B4ECA-23E6-4099-8543-C852643B40EA}">
          <x14:formula1>
            <xm:f>'Lists &amp; Other References'!$A$57:$A$62</xm:f>
          </x14:formula1>
          <xm:sqref>E88:E93</xm:sqref>
        </x14:dataValidation>
        <x14:dataValidation type="list" allowBlank="1" showInputMessage="1" showErrorMessage="1" xr:uid="{3630736D-F500-4A28-B1CA-DA7A4782A64F}">
          <x14:formula1>
            <xm:f>'Lists &amp; Other References'!$C$1:$C$4</xm:f>
          </x14:formula1>
          <xm:sqref>H51</xm:sqref>
        </x14:dataValidation>
        <x14:dataValidation type="list" allowBlank="1" showInputMessage="1" showErrorMessage="1" promptTitle="Choose Location" prompt="Choose one of the following locations._x000a_If Other, type existing operating hours." xr:uid="{32A244B4-0886-4B54-874A-D10AAA11D960}">
          <x14:formula1>
            <xm:f>Lighting!$C$12:$C$14</xm:f>
          </x14:formula1>
          <xm:sqref>G32:G36</xm:sqref>
        </x14:dataValidation>
        <x14:dataValidation type="list" allowBlank="1" showInputMessage="1" showErrorMessage="1" xr:uid="{4DE1F619-41FD-49C2-B480-D04E93FAB669}">
          <x14:formula1>
            <xm:f>'Heat Pumps'!$A$2:$A$4</xm:f>
          </x14:formula1>
          <xm:sqref>Y42:Y47 K42:K47</xm:sqref>
        </x14:dataValidation>
        <x14:dataValidation type="list" allowBlank="1" showInputMessage="1" showErrorMessage="1" xr:uid="{BCDF4C49-4A77-4A3E-A81A-D46848B90830}">
          <x14:formula1>
            <xm:f>'Heat Pumps'!$B$2:$B$4</xm:f>
          </x14:formula1>
          <xm:sqref>AA42:AA47 M42:M47</xm:sqref>
        </x14:dataValidation>
        <x14:dataValidation type="list" allowBlank="1" showInputMessage="1" showErrorMessage="1" xr:uid="{94B9BFC0-6E6C-4C05-8C54-0C722C907555}">
          <x14:formula1>
            <xm:f>'Water Heater'!$A$7:$A$10</xm:f>
          </x14:formula1>
          <xm:sqref>L65:L67</xm:sqref>
        </x14:dataValidation>
        <x14:dataValidation type="list" allowBlank="1" showInputMessage="1" showErrorMessage="1" xr:uid="{B079CE27-CFD4-4876-B0C8-CF1E586B7D7B}">
          <x14:formula1>
            <xm:f>Lighting!$A$18:$A$23</xm:f>
          </x14:formula1>
          <xm:sqref>M101 M37 M60 M48 M52 M68 M78 M84 M94 M9:M29</xm:sqref>
        </x14:dataValidation>
        <x14:dataValidation type="list" allowBlank="1" showInputMessage="1" showErrorMessage="1" xr:uid="{A1EAE9CB-DB55-4B7B-B6A4-23013365A863}">
          <x14:formula1>
            <xm:f>'Lists &amp; Other References'!$C$60:$C$62</xm:f>
          </x14:formula1>
          <xm:sqref>J88:J93</xm:sqref>
        </x14:dataValidation>
        <x14:dataValidation type="list" allowBlank="1" showInputMessage="1" showErrorMessage="1" xr:uid="{A4E52EA4-6306-4FE7-80A3-95A459C576B1}">
          <x14:formula1>
            <xm:f>'Lists &amp; Other References'!$A$70:$A$72</xm:f>
          </x14:formula1>
          <xm:sqref>G51</xm:sqref>
        </x14:dataValidation>
        <x14:dataValidation type="list" allowBlank="1" showInputMessage="1" showErrorMessage="1" xr:uid="{D857DD4B-E974-4B5E-AAC3-EEC6550200AC}">
          <x14:formula1>
            <xm:f>'Lists &amp; Other References'!$A$79:$A$81</xm:f>
          </x14:formula1>
          <xm:sqref>E99:E100</xm:sqref>
        </x14:dataValidation>
        <x14:dataValidation type="list" allowBlank="1" showInputMessage="1" showErrorMessage="1" xr:uid="{264ED189-00EE-4AE2-A992-2C4CF463819A}">
          <x14:formula1>
            <xm:f>'Lists &amp; Other References'!$A$2:$A$15</xm:f>
          </x14:formula1>
          <xm:sqref>E101 E29 E84 E78 E68 E52 E48 E60 E37</xm:sqref>
        </x14:dataValidation>
        <x14:dataValidation type="list" allowBlank="1" showInputMessage="1" showErrorMessage="1" xr:uid="{71BF9658-D35A-4D53-8686-EB850269DCE2}">
          <x14:formula1>
            <xm:f>'Lists &amp; Other References'!$A$2:$A$17</xm:f>
          </x14:formula1>
          <xm:sqref>E9:E28</xm:sqref>
        </x14:dataValidation>
        <x14:dataValidation type="list" allowBlank="1" showInputMessage="1" showErrorMessage="1" xr:uid="{6B95D613-5334-42B2-9148-D076E261C7C6}">
          <x14:formula1>
            <xm:f>'Heat Pumps'!$E$2:$E$4</xm:f>
          </x14:formula1>
          <xm:sqref>G42:G47</xm:sqref>
        </x14:dataValidation>
        <x14:dataValidation type="list" allowBlank="1" showInputMessage="1" showErrorMessage="1" xr:uid="{8ED10FA1-6EBE-4EA2-8EEA-DAB44B778E95}">
          <x14:formula1>
            <xm:f>'Heat Pumps'!$D$2:$D$5</xm:f>
          </x14:formula1>
          <xm:sqref>AD42:AD47 P42:P47</xm:sqref>
        </x14:dataValidation>
        <x14:dataValidation type="list" allowBlank="1" showInputMessage="1" showErrorMessage="1" xr:uid="{501E4C22-865A-45C9-9C9D-5C73015BF29A}">
          <x14:formula1>
            <xm:f>'Lists &amp; Other References'!$A$85:$A$89</xm:f>
          </x14:formula1>
          <xm:sqref>E113:E115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F0F72-E276-48B0-8213-0C80E0E58A75}">
  <dimension ref="A1:AG145"/>
  <sheetViews>
    <sheetView topLeftCell="D40" zoomScaleNormal="115" workbookViewId="0">
      <selection activeCell="E47" sqref="E47"/>
    </sheetView>
    <sheetView topLeftCell="A100" workbookViewId="1">
      <selection activeCell="E121" sqref="E121"/>
    </sheetView>
  </sheetViews>
  <sheetFormatPr defaultColWidth="9.140625" defaultRowHeight="15"/>
  <cols>
    <col min="1" max="1" width="16.42578125" style="115" customWidth="1"/>
    <col min="2" max="2" width="17.7109375" style="115" customWidth="1"/>
    <col min="3" max="3" width="19.28515625" style="115" customWidth="1"/>
    <col min="4" max="4" width="12.28515625" style="115" customWidth="1"/>
    <col min="5" max="5" width="40.140625" style="139" customWidth="1"/>
    <col min="6" max="6" width="16" style="139" customWidth="1"/>
    <col min="7" max="7" width="28.85546875" style="139" customWidth="1"/>
    <col min="8" max="8" width="39.140625" style="139" customWidth="1"/>
    <col min="9" max="10" width="19.28515625" style="139" customWidth="1"/>
    <col min="11" max="11" width="19.42578125" style="139" customWidth="1"/>
    <col min="12" max="12" width="17.42578125" style="139" customWidth="1"/>
    <col min="13" max="13" width="16.85546875" style="139" customWidth="1"/>
    <col min="14" max="14" width="14.7109375" style="139" customWidth="1"/>
    <col min="15" max="15" width="39.5703125" style="139" customWidth="1"/>
    <col min="16" max="16" width="18.85546875" style="139" customWidth="1"/>
    <col min="17" max="17" width="17.28515625" style="139" customWidth="1"/>
    <col min="18" max="18" width="14.85546875" style="139" customWidth="1"/>
    <col min="19" max="19" width="12.5703125" style="139" customWidth="1"/>
    <col min="20" max="20" width="17.140625" style="139" customWidth="1"/>
    <col min="21" max="21" width="17.28515625" style="139" customWidth="1"/>
    <col min="22" max="22" width="13.5703125" style="139" customWidth="1"/>
    <col min="23" max="23" width="13.7109375" style="139" customWidth="1"/>
    <col min="24" max="24" width="11.42578125" style="139" customWidth="1"/>
    <col min="25" max="25" width="9.140625" style="139"/>
    <col min="26" max="26" width="10.42578125" style="139" customWidth="1"/>
    <col min="27" max="28" width="9.140625" style="139"/>
    <col min="29" max="29" width="10.28515625" style="139" customWidth="1"/>
    <col min="30" max="30" width="9.140625" style="139"/>
    <col min="31" max="32" width="11.140625" style="139" bestFit="1" customWidth="1"/>
    <col min="33" max="33" width="10.5703125" style="139" bestFit="1" customWidth="1"/>
    <col min="34" max="16384" width="9.140625" style="139"/>
  </cols>
  <sheetData>
    <row r="1" spans="1:32" ht="30.75" thickBot="1">
      <c r="L1" s="140" t="str">
        <f>IF(L2=0,"",IF(J2=L2,"","*Manually entered total cost does not match the calculated sum of total material and labor costs.*"))</f>
        <v>*Manually entered total cost does not match the calculated sum of total material and labor costs.*</v>
      </c>
      <c r="N1" s="141" t="s">
        <v>46</v>
      </c>
      <c r="O1" s="141" t="s">
        <v>47</v>
      </c>
    </row>
    <row r="2" spans="1:32" ht="48.75" customHeight="1" thickBot="1">
      <c r="H2" s="254" t="s">
        <v>48</v>
      </c>
      <c r="I2" s="253"/>
      <c r="J2" s="198">
        <v>500000</v>
      </c>
      <c r="K2" s="257" t="s">
        <v>49</v>
      </c>
      <c r="L2" s="258">
        <f>SUM(N2:O2)</f>
        <v>1804</v>
      </c>
      <c r="M2" s="142" t="s">
        <v>50</v>
      </c>
      <c r="N2" s="143">
        <f>SUM(SUMPRODUCT(V9:V28,T9:T28),SUMPRODUCT(N32:N36,K32:K36),SUMPRODUCT(T57:T59,L57:L59),SUMPRODUCT(AE42:AE47,Q42:Q47),PRODUCT(O51,J51),SUMPRODUCT(R65:R67,J65:J67),SUMPRODUCT(N73:N77,H73:H77),M82:M83,SUMPRODUCT(N88:N93,H88:H93),SUMPRODUCT(M99:M100,I99:I100))</f>
        <v>786</v>
      </c>
      <c r="O2" s="143">
        <f>SUM(SUMPRODUCT(W9:W28,T9:T28),SUMPRODUCT(O32:O36,K32:K36),SUMPRODUCT(U57:U59,L57:L59),SUMPRODUCT(AF42:AF47,Q42:Q47),PRODUCT(P51,J51),SUMPRODUCT(S65:S67,J65:J67),SUMPRODUCT(O73:O77,H73:H77),M82:M83,SUMPRODUCT(O88:O93,H88:H93),SUMPRODUCT(N99:N100,I99:I100))</f>
        <v>1018</v>
      </c>
      <c r="T2" s="144"/>
      <c r="U2" s="144"/>
      <c r="V2" s="144"/>
      <c r="W2" s="144"/>
      <c r="X2" s="144"/>
      <c r="Y2" s="144"/>
      <c r="Z2" s="144"/>
      <c r="AA2" s="144"/>
      <c r="AB2" s="144"/>
      <c r="AC2" s="144"/>
      <c r="AD2" s="144"/>
      <c r="AE2" s="144"/>
      <c r="AF2" s="144"/>
    </row>
    <row r="3" spans="1:32" ht="31.5" customHeight="1" thickBot="1">
      <c r="H3" s="259" t="s">
        <v>51</v>
      </c>
      <c r="I3" s="253"/>
      <c r="J3" s="198">
        <v>250000</v>
      </c>
      <c r="K3" s="257" t="s">
        <v>49</v>
      </c>
      <c r="T3" s="144"/>
      <c r="U3" s="144"/>
      <c r="X3" s="144"/>
      <c r="Y3" s="144"/>
      <c r="Z3" s="144"/>
      <c r="AA3" s="144"/>
      <c r="AB3" s="144"/>
      <c r="AC3" s="144"/>
      <c r="AD3" s="144"/>
      <c r="AE3" s="144"/>
      <c r="AF3" s="144"/>
    </row>
    <row r="4" spans="1:32" ht="30.75" customHeight="1" thickBot="1">
      <c r="E4" s="145" t="s">
        <v>52</v>
      </c>
      <c r="F4" s="199" t="s">
        <v>218</v>
      </c>
      <c r="H4" s="259" t="s">
        <v>53</v>
      </c>
      <c r="I4" s="253"/>
      <c r="J4" s="38">
        <f>J2-J3</f>
        <v>250000</v>
      </c>
      <c r="T4" s="144"/>
      <c r="U4" s="144"/>
      <c r="X4" s="144"/>
      <c r="Y4" s="144"/>
      <c r="Z4" s="144"/>
      <c r="AA4" s="144"/>
      <c r="AB4" s="144"/>
      <c r="AC4" s="144"/>
      <c r="AD4" s="144"/>
      <c r="AE4" s="144"/>
      <c r="AF4" s="144"/>
    </row>
    <row r="5" spans="1:32" ht="75.75" thickBot="1">
      <c r="E5" s="146" t="s">
        <v>54</v>
      </c>
      <c r="T5" s="144"/>
      <c r="U5" s="144"/>
      <c r="V5" s="144"/>
      <c r="W5" s="144"/>
      <c r="X5" s="144"/>
      <c r="Y5" s="144"/>
      <c r="Z5" s="144"/>
      <c r="AA5" s="144"/>
      <c r="AB5" s="144"/>
      <c r="AC5" s="144"/>
      <c r="AD5" s="144"/>
      <c r="AE5" s="144"/>
      <c r="AF5" s="144"/>
    </row>
    <row r="6" spans="1:32" ht="15.75" thickBot="1">
      <c r="E6" s="147"/>
      <c r="T6" s="144"/>
      <c r="U6" s="144"/>
      <c r="V6" s="144"/>
      <c r="W6" s="144"/>
      <c r="X6" s="144"/>
      <c r="Y6" s="144"/>
      <c r="Z6" s="144"/>
      <c r="AA6" s="144"/>
      <c r="AB6" s="144"/>
      <c r="AC6" s="144"/>
      <c r="AD6" s="144"/>
      <c r="AE6" s="144"/>
      <c r="AF6" s="144"/>
    </row>
    <row r="7" spans="1:32" ht="46.5" customHeight="1" thickBot="1">
      <c r="A7" s="116"/>
      <c r="B7" s="116"/>
      <c r="C7" s="116"/>
      <c r="E7" s="148" t="s">
        <v>55</v>
      </c>
      <c r="F7" s="260" t="s">
        <v>56</v>
      </c>
      <c r="G7" s="149" t="s">
        <v>57</v>
      </c>
      <c r="H7" s="261" t="s">
        <v>58</v>
      </c>
      <c r="I7" s="261" t="s">
        <v>59</v>
      </c>
      <c r="J7" s="150" t="s">
        <v>60</v>
      </c>
      <c r="K7" s="150" t="s">
        <v>61</v>
      </c>
      <c r="L7" s="261" t="s">
        <v>62</v>
      </c>
      <c r="M7" s="262" t="s">
        <v>63</v>
      </c>
      <c r="N7" s="263" t="s">
        <v>64</v>
      </c>
      <c r="O7" s="260" t="s">
        <v>65</v>
      </c>
      <c r="P7" s="264" t="s">
        <v>66</v>
      </c>
      <c r="Q7" s="262" t="s">
        <v>67</v>
      </c>
      <c r="R7" s="263" t="s">
        <v>68</v>
      </c>
      <c r="S7" s="150" t="s">
        <v>69</v>
      </c>
      <c r="T7" s="150" t="s">
        <v>70</v>
      </c>
      <c r="U7" s="262" t="s">
        <v>71</v>
      </c>
      <c r="V7" s="262" t="s">
        <v>72</v>
      </c>
      <c r="W7" s="262" t="s">
        <v>73</v>
      </c>
      <c r="X7" s="151" t="s">
        <v>74</v>
      </c>
    </row>
    <row r="8" spans="1:32" ht="69" thickBot="1">
      <c r="A8" s="117" t="s">
        <v>75</v>
      </c>
      <c r="B8" s="118" t="s">
        <v>76</v>
      </c>
      <c r="C8" s="119" t="s">
        <v>77</v>
      </c>
      <c r="E8" s="152" t="s">
        <v>78</v>
      </c>
      <c r="G8" s="153" t="s">
        <v>79</v>
      </c>
      <c r="H8" s="154"/>
      <c r="I8" s="154"/>
      <c r="J8" s="154"/>
      <c r="K8" s="154"/>
      <c r="L8" s="154"/>
      <c r="M8" s="154"/>
      <c r="N8" s="155"/>
      <c r="O8" s="156"/>
      <c r="P8" s="157"/>
      <c r="Q8" s="154"/>
      <c r="R8" s="154"/>
      <c r="S8" s="154"/>
      <c r="T8" s="154"/>
      <c r="U8" s="154"/>
      <c r="V8" s="154"/>
      <c r="W8" s="154"/>
      <c r="X8" s="155"/>
    </row>
    <row r="9" spans="1:32" ht="15.75" thickTop="1">
      <c r="A9" s="265">
        <v>185.918736</v>
      </c>
      <c r="B9" s="120">
        <v>6693.0744959999984</v>
      </c>
      <c r="C9" s="266">
        <v>0.63438075585503995</v>
      </c>
      <c r="D9" s="121"/>
      <c r="E9" s="200" t="s">
        <v>219</v>
      </c>
      <c r="F9" s="152"/>
      <c r="G9" s="316" t="s">
        <v>220</v>
      </c>
      <c r="H9" s="317" t="s">
        <v>221</v>
      </c>
      <c r="I9" s="158" t="s">
        <v>222</v>
      </c>
      <c r="J9" s="158">
        <v>8760</v>
      </c>
      <c r="K9" s="2">
        <v>60</v>
      </c>
      <c r="L9" s="2">
        <v>36</v>
      </c>
      <c r="M9" s="201" t="s">
        <v>223</v>
      </c>
      <c r="N9" s="318" t="s">
        <v>224</v>
      </c>
      <c r="O9" s="159">
        <v>318.06615776081429</v>
      </c>
      <c r="P9" s="160" t="s">
        <v>219</v>
      </c>
      <c r="Q9" s="319" t="s">
        <v>225</v>
      </c>
      <c r="R9" s="319" t="s">
        <v>226</v>
      </c>
      <c r="S9" s="202">
        <v>40</v>
      </c>
      <c r="T9" s="2">
        <v>36</v>
      </c>
      <c r="U9" s="203" t="s">
        <v>227</v>
      </c>
      <c r="V9" s="320">
        <v>1</v>
      </c>
      <c r="W9" s="320">
        <v>2</v>
      </c>
      <c r="X9" s="161">
        <v>3</v>
      </c>
    </row>
    <row r="10" spans="1:32">
      <c r="A10" s="265">
        <v>555.63384799999983</v>
      </c>
      <c r="B10" s="120">
        <v>2778.1692399999997</v>
      </c>
      <c r="C10" s="266">
        <v>1.8959004781147193</v>
      </c>
      <c r="D10" s="121"/>
      <c r="E10" s="204" t="s">
        <v>228</v>
      </c>
      <c r="G10" s="321" t="s">
        <v>229</v>
      </c>
      <c r="H10" s="201" t="s">
        <v>230</v>
      </c>
      <c r="I10" s="158" t="s">
        <v>222</v>
      </c>
      <c r="J10" s="158">
        <v>5950</v>
      </c>
      <c r="K10" s="2">
        <v>128</v>
      </c>
      <c r="L10" s="2">
        <v>5</v>
      </c>
      <c r="M10" s="201" t="s">
        <v>231</v>
      </c>
      <c r="N10" s="318" t="s">
        <v>232</v>
      </c>
      <c r="O10" s="162">
        <v>318.06615776081429</v>
      </c>
      <c r="P10" s="163" t="s">
        <v>228</v>
      </c>
      <c r="Q10" s="318" t="s">
        <v>225</v>
      </c>
      <c r="R10" s="318" t="s">
        <v>233</v>
      </c>
      <c r="S10" s="2">
        <v>40</v>
      </c>
      <c r="T10" s="2">
        <v>5</v>
      </c>
      <c r="U10" s="201" t="s">
        <v>234</v>
      </c>
      <c r="V10" s="322">
        <v>1</v>
      </c>
      <c r="W10" s="322">
        <v>2</v>
      </c>
      <c r="X10" s="164">
        <v>3</v>
      </c>
    </row>
    <row r="11" spans="1:32">
      <c r="A11" s="265">
        <v>630.91709999999989</v>
      </c>
      <c r="B11" s="120">
        <v>1261.8341999999998</v>
      </c>
      <c r="C11" s="266">
        <v>2.1527774735939995</v>
      </c>
      <c r="D11" s="121"/>
      <c r="E11" s="204" t="s">
        <v>235</v>
      </c>
      <c r="G11" s="321" t="s">
        <v>236</v>
      </c>
      <c r="H11" s="201" t="s">
        <v>237</v>
      </c>
      <c r="I11" s="158" t="s">
        <v>238</v>
      </c>
      <c r="J11" s="158">
        <v>4380</v>
      </c>
      <c r="K11" s="2">
        <v>250</v>
      </c>
      <c r="L11" s="2">
        <v>2</v>
      </c>
      <c r="M11" s="201" t="s">
        <v>239</v>
      </c>
      <c r="N11" s="318" t="s">
        <v>240</v>
      </c>
      <c r="O11" s="162">
        <v>318.06615776081429</v>
      </c>
      <c r="P11" s="163" t="s">
        <v>235</v>
      </c>
      <c r="Q11" s="318" t="s">
        <v>225</v>
      </c>
      <c r="R11" s="318" t="s">
        <v>241</v>
      </c>
      <c r="S11" s="2">
        <v>101.5</v>
      </c>
      <c r="T11" s="2">
        <v>2</v>
      </c>
      <c r="U11" s="201" t="s">
        <v>227</v>
      </c>
      <c r="V11" s="322">
        <v>1</v>
      </c>
      <c r="W11" s="322">
        <v>2</v>
      </c>
      <c r="X11" s="164">
        <v>3</v>
      </c>
    </row>
    <row r="12" spans="1:32">
      <c r="A12" s="265">
        <v>70.555925959999996</v>
      </c>
      <c r="B12" s="120">
        <v>7359.5258155200008</v>
      </c>
      <c r="C12" s="266">
        <v>0.24074669720515438</v>
      </c>
      <c r="D12" s="121"/>
      <c r="E12" s="204" t="s">
        <v>242</v>
      </c>
      <c r="G12" s="321" t="s">
        <v>243</v>
      </c>
      <c r="H12" s="201" t="s">
        <v>244</v>
      </c>
      <c r="I12" s="158" t="s">
        <v>245</v>
      </c>
      <c r="J12" s="158">
        <v>1423</v>
      </c>
      <c r="K12" s="2">
        <v>60</v>
      </c>
      <c r="L12" s="2">
        <v>100</v>
      </c>
      <c r="M12" s="201" t="s">
        <v>223</v>
      </c>
      <c r="N12" s="318" t="s">
        <v>246</v>
      </c>
      <c r="O12" s="162">
        <v>318.06615776081429</v>
      </c>
      <c r="P12" s="163" t="s">
        <v>242</v>
      </c>
      <c r="Q12" s="318" t="s">
        <v>225</v>
      </c>
      <c r="R12" s="318" t="s">
        <v>247</v>
      </c>
      <c r="S12" s="2">
        <v>8</v>
      </c>
      <c r="T12" s="2">
        <v>72</v>
      </c>
      <c r="U12" s="201" t="s">
        <v>234</v>
      </c>
      <c r="V12" s="322">
        <v>1</v>
      </c>
      <c r="W12" s="322">
        <v>2</v>
      </c>
      <c r="X12" s="164">
        <v>3</v>
      </c>
    </row>
    <row r="13" spans="1:32">
      <c r="A13" s="265">
        <f>IFERROR(($K13-$S13)/1000*0.97*$J13*(VLOOKUP('Example Form'!$I13,Lighting!$B$3:$E$9,4,FALSE)+VLOOKUP('Example Form'!$I13,Lighting!$B$3:$E$9,3,FALSE)-1),0)</f>
        <v>0</v>
      </c>
      <c r="B13" s="120">
        <f>IFERROR(($K13*L13-$S13*T13)/1000*0.97*$J13*(VLOOKUP('Example Form'!$I13,Lighting!$B$3:$E$9,4,FALSE)+VLOOKUP('Example Form'!$I13,Lighting!$B$3:$E$9,3,FALSE)-1),0)</f>
        <v>0</v>
      </c>
      <c r="C13" s="266" t="str">
        <f t="shared" ref="C13:C28" si="0">IFERROR(IF(A13=0,"-",A13*3412.14/10^6),"-")</f>
        <v>-</v>
      </c>
      <c r="D13" s="121"/>
      <c r="E13" s="204"/>
      <c r="G13" s="321"/>
      <c r="H13" s="201" t="s">
        <v>80</v>
      </c>
      <c r="I13" s="158" t="str">
        <f>IFERROR(VLOOKUP(H13,Lighting!$A$2:$C$9, 2, FALSE),"")</f>
        <v>Choose Location First</v>
      </c>
      <c r="J13" s="158" t="str">
        <f>IFERROR(VLOOKUP(H13,Lighting!$A$2:$C$9, 3, FALSE),"")</f>
        <v>Choose Location First</v>
      </c>
      <c r="K13" s="2"/>
      <c r="L13" s="2"/>
      <c r="M13" s="201" t="s">
        <v>81</v>
      </c>
      <c r="N13" s="2"/>
      <c r="O13" s="162">
        <f t="shared" ref="O13:O28" si="1">V13/matcost*projcost</f>
        <v>0</v>
      </c>
      <c r="P13" s="163" t="str">
        <f t="shared" ref="P13:P28" si="2">IF(E13=0,"",E13)</f>
        <v/>
      </c>
      <c r="Q13" s="318"/>
      <c r="R13" s="318"/>
      <c r="S13" s="2"/>
      <c r="T13" s="2"/>
      <c r="U13" s="201" t="s">
        <v>80</v>
      </c>
      <c r="V13" s="322"/>
      <c r="W13" s="322"/>
      <c r="X13" s="164">
        <f t="shared" ref="X13:X28" si="3">V13+W13</f>
        <v>0</v>
      </c>
    </row>
    <row r="14" spans="1:32">
      <c r="A14" s="265">
        <f>IFERROR(($K14-$S14)/1000*0.97*$J14*(VLOOKUP('Example Form'!$I14,Lighting!$B$3:$E$9,4,FALSE)+VLOOKUP('Example Form'!$I14,Lighting!$B$3:$E$9,3,FALSE)-1),0)</f>
        <v>0</v>
      </c>
      <c r="B14" s="120">
        <f>IFERROR(($K14*L14-$S14*T14)/1000*0.97*$J14*(VLOOKUP('Example Form'!$I14,Lighting!$B$3:$E$9,4,FALSE)+VLOOKUP('Example Form'!$I14,Lighting!$B$3:$E$9,3,FALSE)-1),0)</f>
        <v>0</v>
      </c>
      <c r="C14" s="266" t="str">
        <f t="shared" si="0"/>
        <v>-</v>
      </c>
      <c r="D14" s="121"/>
      <c r="E14" s="204"/>
      <c r="G14" s="321"/>
      <c r="H14" s="201" t="s">
        <v>80</v>
      </c>
      <c r="I14" s="158" t="str">
        <f>IFERROR(VLOOKUP(H14,Lighting!$A$2:$C$9, 2, FALSE),"")</f>
        <v>Choose Location First</v>
      </c>
      <c r="J14" s="158" t="str">
        <f>IFERROR(VLOOKUP(H14,Lighting!$A$2:$C$9, 3, FALSE),"")</f>
        <v>Choose Location First</v>
      </c>
      <c r="K14" s="2"/>
      <c r="L14" s="2"/>
      <c r="M14" s="201" t="s">
        <v>81</v>
      </c>
      <c r="N14" s="2"/>
      <c r="O14" s="162">
        <f t="shared" si="1"/>
        <v>0</v>
      </c>
      <c r="P14" s="163" t="str">
        <f t="shared" si="2"/>
        <v/>
      </c>
      <c r="Q14" s="318"/>
      <c r="R14" s="318"/>
      <c r="S14" s="2"/>
      <c r="T14" s="2"/>
      <c r="U14" s="201" t="s">
        <v>80</v>
      </c>
      <c r="V14" s="322"/>
      <c r="W14" s="322"/>
      <c r="X14" s="164">
        <f t="shared" si="3"/>
        <v>0</v>
      </c>
    </row>
    <row r="15" spans="1:32">
      <c r="A15" s="265">
        <f>IFERROR(($K15-$S15)/1000*0.97*$J15*(VLOOKUP('Example Form'!$I15,Lighting!$B$3:$E$9,4,FALSE)+VLOOKUP('Example Form'!$I15,Lighting!$B$3:$E$9,3,FALSE)-1),0)</f>
        <v>0</v>
      </c>
      <c r="B15" s="120">
        <f>IFERROR(($K15*L15-$S15*T15)/1000*0.97*$J15*(VLOOKUP('Example Form'!$I15,Lighting!$B$3:$E$9,4,FALSE)+VLOOKUP('Example Form'!$I15,Lighting!$B$3:$E$9,3,FALSE)-1),0)</f>
        <v>0</v>
      </c>
      <c r="C15" s="266" t="str">
        <f t="shared" si="0"/>
        <v>-</v>
      </c>
      <c r="D15" s="121"/>
      <c r="E15" s="204"/>
      <c r="G15" s="321"/>
      <c r="H15" s="201" t="s">
        <v>80</v>
      </c>
      <c r="I15" s="158" t="str">
        <f>IFERROR(VLOOKUP(H15,Lighting!$A$2:$C$9, 2, FALSE),"")</f>
        <v>Choose Location First</v>
      </c>
      <c r="J15" s="158" t="str">
        <f>IFERROR(VLOOKUP(H15,Lighting!$A$2:$C$9, 3, FALSE),"")</f>
        <v>Choose Location First</v>
      </c>
      <c r="K15" s="2"/>
      <c r="L15" s="2"/>
      <c r="M15" s="201" t="s">
        <v>81</v>
      </c>
      <c r="N15" s="2"/>
      <c r="O15" s="162">
        <f t="shared" si="1"/>
        <v>0</v>
      </c>
      <c r="P15" s="163" t="str">
        <f t="shared" si="2"/>
        <v/>
      </c>
      <c r="Q15" s="318"/>
      <c r="R15" s="318"/>
      <c r="S15" s="2"/>
      <c r="T15" s="2"/>
      <c r="U15" s="201" t="s">
        <v>80</v>
      </c>
      <c r="V15" s="322"/>
      <c r="W15" s="322"/>
      <c r="X15" s="164">
        <f t="shared" si="3"/>
        <v>0</v>
      </c>
    </row>
    <row r="16" spans="1:32">
      <c r="A16" s="265">
        <f>IFERROR(($K16-$S16)/1000*0.97*$J16*(VLOOKUP('Example Form'!$I16,Lighting!$B$3:$E$9,4,FALSE)+VLOOKUP('Example Form'!$I16,Lighting!$B$3:$E$9,3,FALSE)-1),0)</f>
        <v>0</v>
      </c>
      <c r="B16" s="120">
        <f>IFERROR(($K16*L16-$S16*T16)/1000*0.97*$J16*(VLOOKUP('Example Form'!$I16,Lighting!$B$3:$E$9,4,FALSE)+VLOOKUP('Example Form'!$I16,Lighting!$B$3:$E$9,3,FALSE)-1),0)</f>
        <v>0</v>
      </c>
      <c r="C16" s="266" t="str">
        <f t="shared" si="0"/>
        <v>-</v>
      </c>
      <c r="D16" s="121"/>
      <c r="E16" s="204"/>
      <c r="G16" s="321"/>
      <c r="H16" s="201" t="s">
        <v>80</v>
      </c>
      <c r="I16" s="158" t="str">
        <f>IFERROR(VLOOKUP(H16,Lighting!$A$2:$C$9, 2, FALSE),"")</f>
        <v>Choose Location First</v>
      </c>
      <c r="J16" s="158" t="str">
        <f>IFERROR(VLOOKUP(H16,Lighting!$A$2:$C$9, 3, FALSE),"")</f>
        <v>Choose Location First</v>
      </c>
      <c r="K16" s="2"/>
      <c r="L16" s="2"/>
      <c r="M16" s="201" t="s">
        <v>81</v>
      </c>
      <c r="N16" s="2"/>
      <c r="O16" s="162">
        <f t="shared" si="1"/>
        <v>0</v>
      </c>
      <c r="P16" s="163" t="str">
        <f t="shared" si="2"/>
        <v/>
      </c>
      <c r="Q16" s="318"/>
      <c r="R16" s="318"/>
      <c r="S16" s="2"/>
      <c r="T16" s="2"/>
      <c r="U16" s="201" t="s">
        <v>80</v>
      </c>
      <c r="V16" s="322"/>
      <c r="W16" s="322"/>
      <c r="X16" s="164">
        <f t="shared" si="3"/>
        <v>0</v>
      </c>
    </row>
    <row r="17" spans="1:24">
      <c r="A17" s="265">
        <f>IFERROR(($K17-$S17)/1000*0.97*$J17*(VLOOKUP('Example Form'!$I17,Lighting!$B$3:$E$9,4,FALSE)+VLOOKUP('Example Form'!$I17,Lighting!$B$3:$E$9,3,FALSE)-1),0)</f>
        <v>0</v>
      </c>
      <c r="B17" s="120">
        <f>IFERROR(($K17*L17-$S17*T17)/1000*0.97*$J17*(VLOOKUP('Example Form'!$I17,Lighting!$B$3:$E$9,4,FALSE)+VLOOKUP('Example Form'!$I17,Lighting!$B$3:$E$9,3,FALSE)-1),0)</f>
        <v>0</v>
      </c>
      <c r="C17" s="266" t="str">
        <f t="shared" si="0"/>
        <v>-</v>
      </c>
      <c r="D17" s="121"/>
      <c r="E17" s="204"/>
      <c r="G17" s="321"/>
      <c r="H17" s="201" t="s">
        <v>80</v>
      </c>
      <c r="I17" s="158" t="str">
        <f>IFERROR(VLOOKUP(H17,Lighting!$A$2:$C$9, 2, FALSE),"")</f>
        <v>Choose Location First</v>
      </c>
      <c r="J17" s="158" t="str">
        <f>IFERROR(VLOOKUP(H17,Lighting!$A$2:$C$9, 3, FALSE),"")</f>
        <v>Choose Location First</v>
      </c>
      <c r="K17" s="2"/>
      <c r="L17" s="2"/>
      <c r="M17" s="201" t="s">
        <v>81</v>
      </c>
      <c r="N17" s="2"/>
      <c r="O17" s="162">
        <f t="shared" si="1"/>
        <v>0</v>
      </c>
      <c r="P17" s="163" t="str">
        <f t="shared" si="2"/>
        <v/>
      </c>
      <c r="Q17" s="318"/>
      <c r="R17" s="318"/>
      <c r="S17" s="2"/>
      <c r="T17" s="2"/>
      <c r="U17" s="201" t="s">
        <v>80</v>
      </c>
      <c r="V17" s="322"/>
      <c r="W17" s="322"/>
      <c r="X17" s="164">
        <f t="shared" si="3"/>
        <v>0</v>
      </c>
    </row>
    <row r="18" spans="1:24">
      <c r="A18" s="265">
        <f>IFERROR(($K18-$S18)/1000*0.97*$J18*(VLOOKUP('Example Form'!$I18,Lighting!$B$3:$E$9,4,FALSE)+VLOOKUP('Example Form'!$I18,Lighting!$B$3:$E$9,3,FALSE)-1),0)</f>
        <v>0</v>
      </c>
      <c r="B18" s="120">
        <f>IFERROR(($K18*L18-$S18*T18)/1000*0.97*$J18*(VLOOKUP('Example Form'!$I18,Lighting!$B$3:$E$9,4,FALSE)+VLOOKUP('Example Form'!$I18,Lighting!$B$3:$E$9,3,FALSE)-1),0)</f>
        <v>0</v>
      </c>
      <c r="C18" s="266" t="str">
        <f t="shared" si="0"/>
        <v>-</v>
      </c>
      <c r="D18" s="121"/>
      <c r="E18" s="204"/>
      <c r="G18" s="321"/>
      <c r="H18" s="201" t="s">
        <v>80</v>
      </c>
      <c r="I18" s="158" t="str">
        <f>IFERROR(VLOOKUP(H18,Lighting!$A$2:$C$9, 2, FALSE),"")</f>
        <v>Choose Location First</v>
      </c>
      <c r="J18" s="158" t="str">
        <f>IFERROR(VLOOKUP(H18,Lighting!$A$2:$C$9, 3, FALSE),"")</f>
        <v>Choose Location First</v>
      </c>
      <c r="K18" s="2"/>
      <c r="L18" s="2"/>
      <c r="M18" s="201" t="s">
        <v>81</v>
      </c>
      <c r="N18" s="2"/>
      <c r="O18" s="162">
        <f t="shared" si="1"/>
        <v>0</v>
      </c>
      <c r="P18" s="163" t="str">
        <f t="shared" si="2"/>
        <v/>
      </c>
      <c r="Q18" s="318"/>
      <c r="R18" s="318"/>
      <c r="S18" s="2"/>
      <c r="T18" s="2"/>
      <c r="U18" s="201" t="s">
        <v>80</v>
      </c>
      <c r="V18" s="322"/>
      <c r="W18" s="322"/>
      <c r="X18" s="164">
        <f t="shared" si="3"/>
        <v>0</v>
      </c>
    </row>
    <row r="19" spans="1:24">
      <c r="A19" s="265">
        <f>IFERROR(($K19-$S19)/1000*0.97*$J19*(VLOOKUP('Example Form'!$I19,Lighting!$B$3:$E$9,4,FALSE)+VLOOKUP('Example Form'!$I19,Lighting!$B$3:$E$9,3,FALSE)-1),0)</f>
        <v>0</v>
      </c>
      <c r="B19" s="120">
        <f>IFERROR(($K19*L19-$S19*T19)/1000*0.97*$J19*(VLOOKUP('Example Form'!$I19,Lighting!$B$3:$E$9,4,FALSE)+VLOOKUP('Example Form'!$I19,Lighting!$B$3:$E$9,3,FALSE)-1),0)</f>
        <v>0</v>
      </c>
      <c r="C19" s="266" t="str">
        <f t="shared" si="0"/>
        <v>-</v>
      </c>
      <c r="D19" s="121"/>
      <c r="E19" s="204"/>
      <c r="G19" s="321"/>
      <c r="H19" s="201" t="s">
        <v>80</v>
      </c>
      <c r="I19" s="158" t="str">
        <f>IFERROR(VLOOKUP(H19,Lighting!$A$2:$C$9, 2, FALSE),"")</f>
        <v>Choose Location First</v>
      </c>
      <c r="J19" s="158" t="str">
        <f>IFERROR(VLOOKUP(H19,Lighting!$A$2:$C$9, 3, FALSE),"")</f>
        <v>Choose Location First</v>
      </c>
      <c r="K19" s="2"/>
      <c r="L19" s="2"/>
      <c r="M19" s="201" t="s">
        <v>81</v>
      </c>
      <c r="N19" s="2"/>
      <c r="O19" s="162">
        <f t="shared" si="1"/>
        <v>0</v>
      </c>
      <c r="P19" s="163" t="str">
        <f t="shared" si="2"/>
        <v/>
      </c>
      <c r="Q19" s="318"/>
      <c r="R19" s="318"/>
      <c r="S19" s="2"/>
      <c r="T19" s="2"/>
      <c r="U19" s="201" t="s">
        <v>80</v>
      </c>
      <c r="V19" s="322"/>
      <c r="W19" s="322"/>
      <c r="X19" s="164">
        <f t="shared" si="3"/>
        <v>0</v>
      </c>
    </row>
    <row r="20" spans="1:24">
      <c r="A20" s="265">
        <f>IFERROR(($K20-$S20)/1000*0.97*$J20*(VLOOKUP('Example Form'!$I20,Lighting!$B$3:$E$9,4,FALSE)+VLOOKUP('Example Form'!$I20,Lighting!$B$3:$E$9,3,FALSE)-1),0)</f>
        <v>0</v>
      </c>
      <c r="B20" s="120">
        <f>IFERROR(($K20*L20-$S20*T20)/1000*0.97*$J20*(VLOOKUP('Example Form'!$I20,Lighting!$B$3:$E$9,4,FALSE)+VLOOKUP('Example Form'!$I20,Lighting!$B$3:$E$9,3,FALSE)-1),0)</f>
        <v>0</v>
      </c>
      <c r="C20" s="266" t="str">
        <f t="shared" si="0"/>
        <v>-</v>
      </c>
      <c r="D20" s="121"/>
      <c r="E20" s="204"/>
      <c r="G20" s="321"/>
      <c r="H20" s="201" t="s">
        <v>80</v>
      </c>
      <c r="I20" s="158" t="str">
        <f>IFERROR(VLOOKUP(H20,Lighting!$A$2:$C$9, 2, FALSE),"")</f>
        <v>Choose Location First</v>
      </c>
      <c r="J20" s="158" t="str">
        <f>IFERROR(VLOOKUP(H20,Lighting!$A$2:$C$9, 3, FALSE),"")</f>
        <v>Choose Location First</v>
      </c>
      <c r="K20" s="2"/>
      <c r="L20" s="2"/>
      <c r="M20" s="201" t="s">
        <v>81</v>
      </c>
      <c r="N20" s="2"/>
      <c r="O20" s="162">
        <f t="shared" si="1"/>
        <v>0</v>
      </c>
      <c r="P20" s="163" t="str">
        <f t="shared" si="2"/>
        <v/>
      </c>
      <c r="Q20" s="318"/>
      <c r="R20" s="318"/>
      <c r="S20" s="2"/>
      <c r="T20" s="2"/>
      <c r="U20" s="201" t="s">
        <v>80</v>
      </c>
      <c r="V20" s="322"/>
      <c r="W20" s="322"/>
      <c r="X20" s="164">
        <f t="shared" si="3"/>
        <v>0</v>
      </c>
    </row>
    <row r="21" spans="1:24">
      <c r="A21" s="265">
        <f>IFERROR(($K21-$S21)/1000*0.97*$J21*(VLOOKUP('Example Form'!$I21,Lighting!$B$3:$E$9,4,FALSE)+VLOOKUP('Example Form'!$I21,Lighting!$B$3:$E$9,3,FALSE)-1),0)</f>
        <v>0</v>
      </c>
      <c r="B21" s="120">
        <f>IFERROR(($K21*L21-$S21*T21)/1000*0.97*$J21*(VLOOKUP('Example Form'!$I21,Lighting!$B$3:$E$9,4,FALSE)+VLOOKUP('Example Form'!$I21,Lighting!$B$3:$E$9,3,FALSE)-1),0)</f>
        <v>0</v>
      </c>
      <c r="C21" s="266" t="str">
        <f t="shared" si="0"/>
        <v>-</v>
      </c>
      <c r="D21" s="121"/>
      <c r="E21" s="204"/>
      <c r="G21" s="321"/>
      <c r="H21" s="201" t="s">
        <v>80</v>
      </c>
      <c r="I21" s="158" t="str">
        <f>IFERROR(VLOOKUP(H21,Lighting!$A$2:$C$9, 2, FALSE),"")</f>
        <v>Choose Location First</v>
      </c>
      <c r="J21" s="158" t="str">
        <f>IFERROR(VLOOKUP(H21,Lighting!$A$2:$C$9, 3, FALSE),"")</f>
        <v>Choose Location First</v>
      </c>
      <c r="K21" s="2"/>
      <c r="L21" s="2"/>
      <c r="M21" s="201" t="s">
        <v>81</v>
      </c>
      <c r="N21" s="2"/>
      <c r="O21" s="162">
        <f t="shared" si="1"/>
        <v>0</v>
      </c>
      <c r="P21" s="163" t="str">
        <f t="shared" si="2"/>
        <v/>
      </c>
      <c r="Q21" s="318"/>
      <c r="R21" s="318"/>
      <c r="S21" s="2"/>
      <c r="T21" s="2"/>
      <c r="U21" s="201" t="s">
        <v>80</v>
      </c>
      <c r="V21" s="322"/>
      <c r="W21" s="322"/>
      <c r="X21" s="164">
        <f t="shared" si="3"/>
        <v>0</v>
      </c>
    </row>
    <row r="22" spans="1:24">
      <c r="A22" s="265">
        <f>IFERROR(($K22-$S22)/1000*0.97*$J22*(VLOOKUP('Example Form'!$I22,Lighting!$B$3:$E$9,4,FALSE)+VLOOKUP('Example Form'!$I22,Lighting!$B$3:$E$9,3,FALSE)-1),0)</f>
        <v>0</v>
      </c>
      <c r="B22" s="120">
        <f>IFERROR(($K22*L22-$S22*T22)/1000*0.97*$J22*(VLOOKUP('Example Form'!$I22,Lighting!$B$3:$E$9,4,FALSE)+VLOOKUP('Example Form'!$I22,Lighting!$B$3:$E$9,3,FALSE)-1),0)</f>
        <v>0</v>
      </c>
      <c r="C22" s="266" t="str">
        <f t="shared" si="0"/>
        <v>-</v>
      </c>
      <c r="D22" s="121"/>
      <c r="E22" s="204"/>
      <c r="G22" s="321"/>
      <c r="H22" s="201" t="s">
        <v>80</v>
      </c>
      <c r="I22" s="158" t="str">
        <f>IFERROR(VLOOKUP(H22,Lighting!$A$2:$C$9, 2, FALSE),"")</f>
        <v>Choose Location First</v>
      </c>
      <c r="J22" s="158" t="str">
        <f>IFERROR(VLOOKUP(H22,Lighting!$A$2:$C$9, 3, FALSE),"")</f>
        <v>Choose Location First</v>
      </c>
      <c r="K22" s="2"/>
      <c r="L22" s="2"/>
      <c r="M22" s="201" t="s">
        <v>81</v>
      </c>
      <c r="N22" s="2"/>
      <c r="O22" s="162">
        <f t="shared" si="1"/>
        <v>0</v>
      </c>
      <c r="P22" s="163" t="str">
        <f t="shared" si="2"/>
        <v/>
      </c>
      <c r="Q22" s="318"/>
      <c r="R22" s="318"/>
      <c r="S22" s="2"/>
      <c r="T22" s="2"/>
      <c r="U22" s="201" t="s">
        <v>80</v>
      </c>
      <c r="V22" s="322"/>
      <c r="W22" s="322"/>
      <c r="X22" s="164">
        <f t="shared" si="3"/>
        <v>0</v>
      </c>
    </row>
    <row r="23" spans="1:24">
      <c r="A23" s="265">
        <f>IFERROR(($K23-$S23)/1000*0.97*$J23*(VLOOKUP('Example Form'!$I23,Lighting!$B$3:$E$9,4,FALSE)+VLOOKUP('Example Form'!$I23,Lighting!$B$3:$E$9,3,FALSE)-1),0)</f>
        <v>0</v>
      </c>
      <c r="B23" s="120">
        <f>IFERROR(($K23*L23-$S23*T23)/1000*0.97*$J23*(VLOOKUP('Example Form'!$I23,Lighting!$B$3:$E$9,4,FALSE)+VLOOKUP('Example Form'!$I23,Lighting!$B$3:$E$9,3,FALSE)-1),0)</f>
        <v>0</v>
      </c>
      <c r="C23" s="266" t="str">
        <f t="shared" si="0"/>
        <v>-</v>
      </c>
      <c r="D23" s="121"/>
      <c r="E23" s="204"/>
      <c r="G23" s="321"/>
      <c r="H23" s="201" t="s">
        <v>80</v>
      </c>
      <c r="I23" s="158" t="str">
        <f>IFERROR(VLOOKUP(H23,Lighting!$A$2:$C$9, 2, FALSE),"")</f>
        <v>Choose Location First</v>
      </c>
      <c r="J23" s="158" t="str">
        <f>IFERROR(VLOOKUP(H23,Lighting!$A$2:$C$9, 3, FALSE),"")</f>
        <v>Choose Location First</v>
      </c>
      <c r="K23" s="2"/>
      <c r="L23" s="2"/>
      <c r="M23" s="201" t="s">
        <v>81</v>
      </c>
      <c r="N23" s="2"/>
      <c r="O23" s="162">
        <f t="shared" si="1"/>
        <v>0</v>
      </c>
      <c r="P23" s="163" t="str">
        <f t="shared" si="2"/>
        <v/>
      </c>
      <c r="Q23" s="318"/>
      <c r="R23" s="318"/>
      <c r="S23" s="2"/>
      <c r="T23" s="2"/>
      <c r="U23" s="201" t="s">
        <v>80</v>
      </c>
      <c r="V23" s="322"/>
      <c r="W23" s="322"/>
      <c r="X23" s="164">
        <f t="shared" si="3"/>
        <v>0</v>
      </c>
    </row>
    <row r="24" spans="1:24">
      <c r="A24" s="265">
        <f>IFERROR(($K24-$S24)/1000*0.97*$J24*(VLOOKUP('Example Form'!$I24,Lighting!$B$3:$E$9,4,FALSE)+VLOOKUP('Example Form'!$I24,Lighting!$B$3:$E$9,3,FALSE)-1),0)</f>
        <v>0</v>
      </c>
      <c r="B24" s="120">
        <f>IFERROR(($K24*L24-$S24*T24)/1000*0.97*$J24*(VLOOKUP('Example Form'!$I24,Lighting!$B$3:$E$9,4,FALSE)+VLOOKUP('Example Form'!$I24,Lighting!$B$3:$E$9,3,FALSE)-1),0)</f>
        <v>0</v>
      </c>
      <c r="C24" s="266" t="str">
        <f t="shared" si="0"/>
        <v>-</v>
      </c>
      <c r="D24" s="121"/>
      <c r="E24" s="204"/>
      <c r="G24" s="321"/>
      <c r="H24" s="201" t="s">
        <v>80</v>
      </c>
      <c r="I24" s="158" t="str">
        <f>IFERROR(VLOOKUP(H24,Lighting!$A$2:$C$9, 2, FALSE),"")</f>
        <v>Choose Location First</v>
      </c>
      <c r="J24" s="158" t="str">
        <f>IFERROR(VLOOKUP(H24,Lighting!$A$2:$C$9, 3, FALSE),"")</f>
        <v>Choose Location First</v>
      </c>
      <c r="K24" s="2"/>
      <c r="L24" s="2"/>
      <c r="M24" s="201" t="s">
        <v>81</v>
      </c>
      <c r="N24" s="2"/>
      <c r="O24" s="162">
        <f t="shared" si="1"/>
        <v>0</v>
      </c>
      <c r="P24" s="163" t="str">
        <f t="shared" si="2"/>
        <v/>
      </c>
      <c r="Q24" s="318"/>
      <c r="R24" s="318"/>
      <c r="S24" s="2"/>
      <c r="T24" s="2"/>
      <c r="U24" s="201" t="s">
        <v>80</v>
      </c>
      <c r="V24" s="322"/>
      <c r="W24" s="322"/>
      <c r="X24" s="164">
        <f t="shared" si="3"/>
        <v>0</v>
      </c>
    </row>
    <row r="25" spans="1:24">
      <c r="A25" s="265">
        <f>IFERROR(($K25-$S25)/1000*0.97*$J25*(VLOOKUP('Example Form'!$I25,Lighting!$B$3:$E$9,4,FALSE)+VLOOKUP('Example Form'!$I25,Lighting!$B$3:$E$9,3,FALSE)-1),0)</f>
        <v>0</v>
      </c>
      <c r="B25" s="120">
        <f>IFERROR(($K25*L25-$S25*T25)/1000*0.97*$J25*(VLOOKUP('Example Form'!$I25,Lighting!$B$3:$E$9,4,FALSE)+VLOOKUP('Example Form'!$I25,Lighting!$B$3:$E$9,3,FALSE)-1),0)</f>
        <v>0</v>
      </c>
      <c r="C25" s="266" t="str">
        <f t="shared" si="0"/>
        <v>-</v>
      </c>
      <c r="D25" s="121"/>
      <c r="E25" s="204"/>
      <c r="G25" s="321"/>
      <c r="H25" s="201" t="s">
        <v>80</v>
      </c>
      <c r="I25" s="158" t="str">
        <f>IFERROR(VLOOKUP(H25,Lighting!$A$2:$C$9, 2, FALSE),"")</f>
        <v>Choose Location First</v>
      </c>
      <c r="J25" s="158" t="str">
        <f>IFERROR(VLOOKUP(H25,Lighting!$A$2:$C$9, 3, FALSE),"")</f>
        <v>Choose Location First</v>
      </c>
      <c r="K25" s="2"/>
      <c r="L25" s="2"/>
      <c r="M25" s="201" t="s">
        <v>81</v>
      </c>
      <c r="N25" s="2"/>
      <c r="O25" s="162">
        <f t="shared" si="1"/>
        <v>0</v>
      </c>
      <c r="P25" s="163" t="str">
        <f t="shared" si="2"/>
        <v/>
      </c>
      <c r="Q25" s="318"/>
      <c r="R25" s="318"/>
      <c r="S25" s="2"/>
      <c r="T25" s="2"/>
      <c r="U25" s="201" t="s">
        <v>80</v>
      </c>
      <c r="V25" s="322"/>
      <c r="W25" s="322"/>
      <c r="X25" s="164">
        <f t="shared" si="3"/>
        <v>0</v>
      </c>
    </row>
    <row r="26" spans="1:24">
      <c r="A26" s="265">
        <f>IFERROR(($K26-$S26)/1000*0.97*$J26*(VLOOKUP('Example Form'!$I26,Lighting!$B$3:$E$9,4,FALSE)+VLOOKUP('Example Form'!$I26,Lighting!$B$3:$E$9,3,FALSE)-1),0)</f>
        <v>0</v>
      </c>
      <c r="B26" s="120">
        <f>IFERROR(($K26*L26-$S26*T26)/1000*0.97*$J26*(VLOOKUP('Example Form'!$I26,Lighting!$B$3:$E$9,4,FALSE)+VLOOKUP('Example Form'!$I26,Lighting!$B$3:$E$9,3,FALSE)-1),0)</f>
        <v>0</v>
      </c>
      <c r="C26" s="266" t="str">
        <f t="shared" si="0"/>
        <v>-</v>
      </c>
      <c r="D26" s="121"/>
      <c r="E26" s="204"/>
      <c r="G26" s="321"/>
      <c r="H26" s="201" t="s">
        <v>80</v>
      </c>
      <c r="I26" s="158" t="str">
        <f>IFERROR(VLOOKUP(H26,Lighting!$A$2:$C$9, 2, FALSE),"")</f>
        <v>Choose Location First</v>
      </c>
      <c r="J26" s="158" t="str">
        <f>IFERROR(VLOOKUP(H26,Lighting!$A$2:$C$9, 3, FALSE),"")</f>
        <v>Choose Location First</v>
      </c>
      <c r="K26" s="2"/>
      <c r="L26" s="2"/>
      <c r="M26" s="201" t="s">
        <v>81</v>
      </c>
      <c r="N26" s="2"/>
      <c r="O26" s="162">
        <f t="shared" si="1"/>
        <v>0</v>
      </c>
      <c r="P26" s="163" t="str">
        <f t="shared" si="2"/>
        <v/>
      </c>
      <c r="Q26" s="318"/>
      <c r="R26" s="318"/>
      <c r="S26" s="2"/>
      <c r="T26" s="2"/>
      <c r="U26" s="201" t="s">
        <v>80</v>
      </c>
      <c r="V26" s="322"/>
      <c r="W26" s="322"/>
      <c r="X26" s="164">
        <f t="shared" si="3"/>
        <v>0</v>
      </c>
    </row>
    <row r="27" spans="1:24">
      <c r="A27" s="265">
        <f>IFERROR(($K27-$S27)/1000*0.97*$J27*(VLOOKUP('Example Form'!$I27,Lighting!$B$3:$E$9,4,FALSE)+VLOOKUP('Example Form'!$I27,Lighting!$B$3:$E$9,3,FALSE)-1),0)</f>
        <v>0</v>
      </c>
      <c r="B27" s="120">
        <f>IFERROR(($K27*L27-$S27*T27)/1000*0.97*$J27*(VLOOKUP('Example Form'!$I27,Lighting!$B$3:$E$9,4,FALSE)+VLOOKUP('Example Form'!$I27,Lighting!$B$3:$E$9,3,FALSE)-1),0)</f>
        <v>0</v>
      </c>
      <c r="C27" s="266" t="str">
        <f t="shared" si="0"/>
        <v>-</v>
      </c>
      <c r="D27" s="121"/>
      <c r="E27" s="204"/>
      <c r="G27" s="321"/>
      <c r="H27" s="201" t="s">
        <v>80</v>
      </c>
      <c r="I27" s="158" t="str">
        <f>IFERROR(VLOOKUP(H27,Lighting!$A$2:$C$9, 2, FALSE),"")</f>
        <v>Choose Location First</v>
      </c>
      <c r="J27" s="158" t="str">
        <f>IFERROR(VLOOKUP(H27,Lighting!$A$2:$C$9, 3, FALSE),"")</f>
        <v>Choose Location First</v>
      </c>
      <c r="K27" s="2"/>
      <c r="L27" s="2"/>
      <c r="M27" s="201" t="s">
        <v>81</v>
      </c>
      <c r="N27" s="2"/>
      <c r="O27" s="162">
        <f t="shared" si="1"/>
        <v>0</v>
      </c>
      <c r="P27" s="163" t="str">
        <f t="shared" si="2"/>
        <v/>
      </c>
      <c r="Q27" s="318"/>
      <c r="R27" s="318"/>
      <c r="S27" s="2"/>
      <c r="T27" s="2"/>
      <c r="U27" s="201" t="s">
        <v>80</v>
      </c>
      <c r="V27" s="322"/>
      <c r="W27" s="322"/>
      <c r="X27" s="164">
        <f t="shared" si="3"/>
        <v>0</v>
      </c>
    </row>
    <row r="28" spans="1:24" ht="15.75" thickBot="1">
      <c r="A28" s="265">
        <f>IFERROR(($K28-$S28)/1000*0.97*$J28*(VLOOKUP('Example Form'!$I28,Lighting!$B$3:$E$9,4,FALSE)+VLOOKUP('Example Form'!$I28,Lighting!$B$3:$E$9,3,FALSE)-1),0)</f>
        <v>0</v>
      </c>
      <c r="B28" s="120">
        <f>IFERROR(($K28*L28-$S28*T28)/1000*0.97*$J28*(VLOOKUP('Example Form'!$I28,Lighting!$B$3:$E$9,4,FALSE)+VLOOKUP('Example Form'!$I28,Lighting!$B$3:$E$9,3,FALSE)-1),0)</f>
        <v>0</v>
      </c>
      <c r="C28" s="266" t="str">
        <f t="shared" si="0"/>
        <v>-</v>
      </c>
      <c r="D28" s="121"/>
      <c r="E28" s="205"/>
      <c r="G28" s="323"/>
      <c r="H28" s="206" t="s">
        <v>80</v>
      </c>
      <c r="I28" s="165" t="str">
        <f>IFERROR(VLOOKUP(H28,Lighting!$A$2:$C$9, 2, FALSE),"")</f>
        <v>Choose Location First</v>
      </c>
      <c r="J28" s="165" t="str">
        <f>IFERROR(VLOOKUP(H28,Lighting!$A$2:$C$9, 3, FALSE),"")</f>
        <v>Choose Location First</v>
      </c>
      <c r="K28" s="207"/>
      <c r="L28" s="207"/>
      <c r="M28" s="206" t="s">
        <v>81</v>
      </c>
      <c r="N28" s="207"/>
      <c r="O28" s="166">
        <f t="shared" si="1"/>
        <v>0</v>
      </c>
      <c r="P28" s="275" t="str">
        <f t="shared" si="2"/>
        <v/>
      </c>
      <c r="Q28" s="324"/>
      <c r="R28" s="324"/>
      <c r="S28" s="207"/>
      <c r="T28" s="207"/>
      <c r="U28" s="206" t="s">
        <v>80</v>
      </c>
      <c r="V28" s="325"/>
      <c r="W28" s="325"/>
      <c r="X28" s="167">
        <f t="shared" si="3"/>
        <v>0</v>
      </c>
    </row>
    <row r="29" spans="1:24" ht="15.75" thickBot="1">
      <c r="A29" s="278"/>
      <c r="B29" s="122" t="s">
        <v>82</v>
      </c>
      <c r="C29" s="279"/>
      <c r="E29" s="152"/>
      <c r="N29" s="168"/>
      <c r="U29" s="280"/>
      <c r="V29" s="280"/>
      <c r="W29" s="280"/>
    </row>
    <row r="30" spans="1:24" ht="46.5" thickBot="1">
      <c r="A30" s="123">
        <f>IFERROR(SUM(B9:B28),0)</f>
        <v>18092.603751520001</v>
      </c>
      <c r="B30" s="124"/>
      <c r="C30" s="125">
        <f>IFERROR(SUMPRODUCT(C9:C28,$T$9:$T$28),0)</f>
        <v>53.956526747314143</v>
      </c>
      <c r="E30" s="152"/>
      <c r="I30" s="169" t="s">
        <v>83</v>
      </c>
      <c r="J30" s="169" t="s">
        <v>84</v>
      </c>
    </row>
    <row r="31" spans="1:24" ht="61.5" customHeight="1" thickBot="1">
      <c r="A31" s="117" t="s">
        <v>75</v>
      </c>
      <c r="B31" s="126"/>
      <c r="C31" s="119" t="s">
        <v>77</v>
      </c>
      <c r="E31" s="152" t="s">
        <v>85</v>
      </c>
      <c r="G31" s="149" t="s">
        <v>86</v>
      </c>
      <c r="H31" s="170" t="s">
        <v>60</v>
      </c>
      <c r="I31" s="262" t="s">
        <v>87</v>
      </c>
      <c r="J31" s="170" t="s">
        <v>88</v>
      </c>
      <c r="K31" s="263" t="s">
        <v>89</v>
      </c>
      <c r="L31" s="171" t="s">
        <v>90</v>
      </c>
      <c r="M31" s="149" t="s">
        <v>91</v>
      </c>
      <c r="N31" s="170" t="s">
        <v>92</v>
      </c>
      <c r="O31" s="151" t="s">
        <v>74</v>
      </c>
    </row>
    <row r="32" spans="1:24">
      <c r="A32" s="265">
        <v>450.80501759999999</v>
      </c>
      <c r="B32" s="281"/>
      <c r="C32" s="282">
        <v>1.53820983275366</v>
      </c>
      <c r="E32" s="200" t="s">
        <v>248</v>
      </c>
      <c r="G32" s="208" t="s">
        <v>249</v>
      </c>
      <c r="H32" s="2">
        <v>8760</v>
      </c>
      <c r="I32" s="2">
        <v>200</v>
      </c>
      <c r="J32" s="283">
        <v>0.24</v>
      </c>
      <c r="K32" s="172">
        <v>1</v>
      </c>
      <c r="L32" s="173">
        <v>636.13231552162858</v>
      </c>
      <c r="M32" s="326">
        <v>1</v>
      </c>
      <c r="N32" s="322">
        <v>2</v>
      </c>
      <c r="O32" s="164">
        <v>3</v>
      </c>
    </row>
    <row r="33" spans="1:33">
      <c r="A33" s="265">
        <v>394.45439040000002</v>
      </c>
      <c r="B33" s="281"/>
      <c r="C33" s="282">
        <v>1.34593360365946</v>
      </c>
      <c r="E33" s="204" t="s">
        <v>250</v>
      </c>
      <c r="G33" s="208" t="s">
        <v>249</v>
      </c>
      <c r="H33" s="2">
        <v>8760</v>
      </c>
      <c r="I33" s="2">
        <v>150</v>
      </c>
      <c r="J33" s="283">
        <v>0.28000000000000003</v>
      </c>
      <c r="K33" s="172">
        <v>1</v>
      </c>
      <c r="L33" s="173">
        <v>1272.2646310432572</v>
      </c>
      <c r="M33" s="326">
        <v>3</v>
      </c>
      <c r="N33" s="322">
        <v>4</v>
      </c>
      <c r="O33" s="164">
        <v>7</v>
      </c>
    </row>
    <row r="34" spans="1:33">
      <c r="A34" s="265">
        <v>0</v>
      </c>
      <c r="B34" s="281"/>
      <c r="C34" s="282">
        <v>0</v>
      </c>
      <c r="E34" s="204"/>
      <c r="G34" s="208" t="s">
        <v>80</v>
      </c>
      <c r="H34" s="2"/>
      <c r="I34" s="2"/>
      <c r="J34" s="283" t="s">
        <v>251</v>
      </c>
      <c r="K34" s="172"/>
      <c r="L34" s="173">
        <v>0</v>
      </c>
      <c r="M34" s="326"/>
      <c r="N34" s="322"/>
      <c r="O34" s="164">
        <v>0</v>
      </c>
    </row>
    <row r="35" spans="1:33">
      <c r="A35" s="265">
        <v>0</v>
      </c>
      <c r="B35" s="281"/>
      <c r="C35" s="282">
        <v>0</v>
      </c>
      <c r="E35" s="204"/>
      <c r="G35" s="208" t="s">
        <v>80</v>
      </c>
      <c r="H35" s="2"/>
      <c r="I35" s="2"/>
      <c r="J35" s="283" t="s">
        <v>251</v>
      </c>
      <c r="K35" s="172"/>
      <c r="L35" s="173">
        <v>0</v>
      </c>
      <c r="M35" s="326"/>
      <c r="N35" s="322"/>
      <c r="O35" s="164">
        <v>0</v>
      </c>
    </row>
    <row r="36" spans="1:33" ht="15.75" thickBot="1">
      <c r="A36" s="265">
        <v>0</v>
      </c>
      <c r="B36" s="281"/>
      <c r="C36" s="282">
        <v>0</v>
      </c>
      <c r="E36" s="205"/>
      <c r="G36" s="209" t="s">
        <v>80</v>
      </c>
      <c r="H36" s="207"/>
      <c r="I36" s="207"/>
      <c r="J36" s="285" t="s">
        <v>251</v>
      </c>
      <c r="K36" s="210"/>
      <c r="L36" s="174">
        <v>0</v>
      </c>
      <c r="M36" s="327"/>
      <c r="N36" s="325"/>
      <c r="O36" s="167">
        <v>0</v>
      </c>
    </row>
    <row r="37" spans="1:33" ht="15.75" thickBot="1">
      <c r="A37" s="278"/>
      <c r="B37" s="127" t="s">
        <v>82</v>
      </c>
      <c r="C37" s="128"/>
      <c r="E37" s="152"/>
      <c r="N37" s="168"/>
      <c r="U37" s="280"/>
      <c r="V37" s="280"/>
      <c r="W37" s="280"/>
    </row>
    <row r="38" spans="1:33" ht="16.5" thickBot="1">
      <c r="A38" s="123">
        <v>845.25940799999989</v>
      </c>
      <c r="B38" s="124">
        <v>0</v>
      </c>
      <c r="C38" s="125">
        <v>2.8841434364131202</v>
      </c>
      <c r="E38" s="152"/>
    </row>
    <row r="39" spans="1:33">
      <c r="A39" s="129"/>
      <c r="B39" s="130"/>
      <c r="C39" s="131"/>
    </row>
    <row r="40" spans="1:33" ht="36" customHeight="1" thickBot="1">
      <c r="A40" s="287"/>
      <c r="B40" s="132"/>
      <c r="C40" s="128"/>
      <c r="E40" s="148" t="s">
        <v>94</v>
      </c>
    </row>
    <row r="41" spans="1:33" ht="75.75" thickBot="1">
      <c r="A41" s="117" t="s">
        <v>75</v>
      </c>
      <c r="B41" s="126" t="s">
        <v>95</v>
      </c>
      <c r="C41" s="119" t="s">
        <v>77</v>
      </c>
      <c r="E41" s="152" t="s">
        <v>96</v>
      </c>
      <c r="F41" s="260" t="s">
        <v>56</v>
      </c>
      <c r="G41" s="288" t="s">
        <v>97</v>
      </c>
      <c r="H41" s="261" t="s">
        <v>98</v>
      </c>
      <c r="I41" s="261" t="s">
        <v>99</v>
      </c>
      <c r="J41" s="289" t="s">
        <v>100</v>
      </c>
      <c r="K41" s="290" t="s">
        <v>101</v>
      </c>
      <c r="L41" s="289" t="s">
        <v>102</v>
      </c>
      <c r="M41" s="290" t="s">
        <v>101</v>
      </c>
      <c r="N41" s="261" t="s">
        <v>103</v>
      </c>
      <c r="O41" s="289" t="s">
        <v>104</v>
      </c>
      <c r="P41" s="290" t="s">
        <v>105</v>
      </c>
      <c r="Q41" s="150" t="s">
        <v>89</v>
      </c>
      <c r="R41" s="175" t="s">
        <v>106</v>
      </c>
      <c r="S41" s="260" t="s">
        <v>107</v>
      </c>
      <c r="T41" s="288" t="s">
        <v>108</v>
      </c>
      <c r="U41" s="150" t="s">
        <v>67</v>
      </c>
      <c r="V41" s="170" t="s">
        <v>68</v>
      </c>
      <c r="W41" s="261" t="s">
        <v>109</v>
      </c>
      <c r="X41" s="289" t="s">
        <v>110</v>
      </c>
      <c r="Y41" s="290" t="s">
        <v>101</v>
      </c>
      <c r="Z41" s="289" t="s">
        <v>111</v>
      </c>
      <c r="AA41" s="290" t="s">
        <v>101</v>
      </c>
      <c r="AB41" s="261" t="s">
        <v>112</v>
      </c>
      <c r="AC41" s="289" t="s">
        <v>113</v>
      </c>
      <c r="AD41" s="290" t="s">
        <v>101</v>
      </c>
      <c r="AE41" s="150" t="s">
        <v>91</v>
      </c>
      <c r="AF41" s="150" t="s">
        <v>92</v>
      </c>
      <c r="AG41" s="176" t="s">
        <v>74</v>
      </c>
    </row>
    <row r="42" spans="1:33">
      <c r="A42" s="265">
        <v>1274.1103896103898</v>
      </c>
      <c r="B42" s="281">
        <v>0.19</v>
      </c>
      <c r="C42" s="295">
        <v>4.5374430248052002</v>
      </c>
      <c r="E42" s="200" t="s">
        <v>252</v>
      </c>
      <c r="G42" s="208" t="s">
        <v>253</v>
      </c>
      <c r="H42" s="318" t="s">
        <v>254</v>
      </c>
      <c r="I42" s="3">
        <v>19000</v>
      </c>
      <c r="J42" s="211">
        <v>9.6</v>
      </c>
      <c r="K42" s="201" t="s">
        <v>255</v>
      </c>
      <c r="L42" s="211">
        <v>10.5</v>
      </c>
      <c r="M42" s="201" t="s">
        <v>256</v>
      </c>
      <c r="N42" s="3">
        <v>19000</v>
      </c>
      <c r="O42" s="211">
        <v>97</v>
      </c>
      <c r="P42" s="201" t="s">
        <v>257</v>
      </c>
      <c r="Q42" s="2">
        <v>25</v>
      </c>
      <c r="R42" s="172">
        <v>10</v>
      </c>
      <c r="T42" s="321" t="s">
        <v>258</v>
      </c>
      <c r="U42" s="318" t="s">
        <v>259</v>
      </c>
      <c r="V42" s="2" t="s">
        <v>226</v>
      </c>
      <c r="W42" s="3">
        <v>19000</v>
      </c>
      <c r="X42" s="211">
        <v>12.5</v>
      </c>
      <c r="Y42" s="317" t="s">
        <v>255</v>
      </c>
      <c r="Z42" s="211">
        <v>22</v>
      </c>
      <c r="AA42" s="201" t="s">
        <v>256</v>
      </c>
      <c r="AB42" s="3">
        <v>19000</v>
      </c>
      <c r="AC42" s="211">
        <v>10</v>
      </c>
      <c r="AD42" s="201" t="s">
        <v>260</v>
      </c>
      <c r="AE42" s="322">
        <v>10</v>
      </c>
      <c r="AF42" s="322">
        <v>10</v>
      </c>
      <c r="AG42" s="164">
        <v>20</v>
      </c>
    </row>
    <row r="43" spans="1:33">
      <c r="A43" s="265">
        <v>4108.3055555555547</v>
      </c>
      <c r="B43" s="281">
        <v>0</v>
      </c>
      <c r="C43" s="295">
        <v>14.0181137183333</v>
      </c>
      <c r="E43" s="204" t="s">
        <v>114</v>
      </c>
      <c r="G43" s="208" t="s">
        <v>261</v>
      </c>
      <c r="H43" s="318" t="s">
        <v>262</v>
      </c>
      <c r="I43" s="3">
        <v>14700</v>
      </c>
      <c r="J43" s="211">
        <v>9.9499999999999993</v>
      </c>
      <c r="K43" s="317" t="s">
        <v>255</v>
      </c>
      <c r="L43" s="211">
        <v>10</v>
      </c>
      <c r="M43" s="201" t="s">
        <v>256</v>
      </c>
      <c r="N43" s="3">
        <v>10900</v>
      </c>
      <c r="O43" s="211">
        <v>2.16</v>
      </c>
      <c r="P43" s="201" t="s">
        <v>263</v>
      </c>
      <c r="Q43" s="2">
        <v>25</v>
      </c>
      <c r="R43" s="172">
        <v>10</v>
      </c>
      <c r="T43" s="212" t="s">
        <v>258</v>
      </c>
      <c r="U43" s="2" t="s">
        <v>259</v>
      </c>
      <c r="V43" s="2" t="s">
        <v>241</v>
      </c>
      <c r="W43" s="3">
        <v>12000</v>
      </c>
      <c r="X43" s="211">
        <v>12.5</v>
      </c>
      <c r="Y43" s="317" t="s">
        <v>255</v>
      </c>
      <c r="Z43" s="211">
        <v>22</v>
      </c>
      <c r="AA43" s="201" t="s">
        <v>256</v>
      </c>
      <c r="AB43" s="3">
        <v>11000</v>
      </c>
      <c r="AC43" s="211">
        <v>10</v>
      </c>
      <c r="AD43" s="201" t="s">
        <v>260</v>
      </c>
      <c r="AE43" s="322">
        <v>10</v>
      </c>
      <c r="AF43" s="322">
        <v>10</v>
      </c>
      <c r="AG43" s="164">
        <v>20</v>
      </c>
    </row>
    <row r="44" spans="1:33">
      <c r="A44" s="265">
        <v>0</v>
      </c>
      <c r="B44" s="281">
        <v>0</v>
      </c>
      <c r="C44" s="295">
        <v>0</v>
      </c>
      <c r="E44" s="204" t="s">
        <v>114</v>
      </c>
      <c r="G44" s="208" t="s">
        <v>80</v>
      </c>
      <c r="H44" s="318"/>
      <c r="I44" s="3"/>
      <c r="J44" s="211"/>
      <c r="K44" s="317" t="s">
        <v>80</v>
      </c>
      <c r="L44" s="211"/>
      <c r="M44" s="201" t="s">
        <v>80</v>
      </c>
      <c r="N44" s="3"/>
      <c r="O44" s="211"/>
      <c r="P44" s="201" t="s">
        <v>80</v>
      </c>
      <c r="Q44" s="2"/>
      <c r="R44" s="172"/>
      <c r="T44" s="212"/>
      <c r="U44" s="2"/>
      <c r="V44" s="2"/>
      <c r="W44" s="3"/>
      <c r="X44" s="211"/>
      <c r="Y44" s="317" t="s">
        <v>80</v>
      </c>
      <c r="Z44" s="211"/>
      <c r="AA44" s="201" t="s">
        <v>80</v>
      </c>
      <c r="AB44" s="3"/>
      <c r="AC44" s="211"/>
      <c r="AD44" s="201" t="s">
        <v>80</v>
      </c>
      <c r="AE44" s="322"/>
      <c r="AF44" s="322"/>
      <c r="AG44" s="164">
        <v>0</v>
      </c>
    </row>
    <row r="45" spans="1:33">
      <c r="A45" s="265">
        <v>0</v>
      </c>
      <c r="B45" s="281">
        <v>0</v>
      </c>
      <c r="C45" s="295">
        <v>0</v>
      </c>
      <c r="E45" s="204" t="s">
        <v>114</v>
      </c>
      <c r="G45" s="208" t="s">
        <v>80</v>
      </c>
      <c r="H45" s="318"/>
      <c r="I45" s="3"/>
      <c r="J45" s="211"/>
      <c r="K45" s="317" t="s">
        <v>80</v>
      </c>
      <c r="L45" s="211"/>
      <c r="M45" s="201" t="s">
        <v>80</v>
      </c>
      <c r="N45" s="3"/>
      <c r="O45" s="211"/>
      <c r="P45" s="201" t="s">
        <v>80</v>
      </c>
      <c r="Q45" s="2"/>
      <c r="R45" s="172"/>
      <c r="T45" s="212"/>
      <c r="U45" s="2"/>
      <c r="V45" s="2"/>
      <c r="W45" s="3"/>
      <c r="X45" s="211"/>
      <c r="Y45" s="317" t="s">
        <v>80</v>
      </c>
      <c r="Z45" s="211"/>
      <c r="AA45" s="201" t="s">
        <v>80</v>
      </c>
      <c r="AB45" s="3"/>
      <c r="AC45" s="211"/>
      <c r="AD45" s="201" t="s">
        <v>80</v>
      </c>
      <c r="AE45" s="322"/>
      <c r="AF45" s="322"/>
      <c r="AG45" s="164">
        <v>0</v>
      </c>
    </row>
    <row r="46" spans="1:33">
      <c r="A46" s="265">
        <v>0</v>
      </c>
      <c r="B46" s="281">
        <v>0</v>
      </c>
      <c r="C46" s="295">
        <v>0</v>
      </c>
      <c r="E46" s="204" t="s">
        <v>252</v>
      </c>
      <c r="G46" s="208" t="s">
        <v>80</v>
      </c>
      <c r="H46" s="318"/>
      <c r="I46" s="3"/>
      <c r="J46" s="211"/>
      <c r="K46" s="317" t="s">
        <v>80</v>
      </c>
      <c r="L46" s="211"/>
      <c r="M46" s="201" t="s">
        <v>80</v>
      </c>
      <c r="N46" s="3"/>
      <c r="O46" s="211"/>
      <c r="P46" s="201" t="s">
        <v>80</v>
      </c>
      <c r="Q46" s="2"/>
      <c r="R46" s="172"/>
      <c r="T46" s="212"/>
      <c r="U46" s="2"/>
      <c r="V46" s="2"/>
      <c r="W46" s="3"/>
      <c r="X46" s="211"/>
      <c r="Y46" s="317" t="s">
        <v>80</v>
      </c>
      <c r="Z46" s="211"/>
      <c r="AA46" s="201" t="s">
        <v>80</v>
      </c>
      <c r="AB46" s="3"/>
      <c r="AC46" s="211"/>
      <c r="AD46" s="201" t="s">
        <v>80</v>
      </c>
      <c r="AE46" s="322"/>
      <c r="AF46" s="322"/>
      <c r="AG46" s="164">
        <v>0</v>
      </c>
    </row>
    <row r="47" spans="1:33" ht="15.75" thickBot="1">
      <c r="A47" s="265">
        <v>0</v>
      </c>
      <c r="B47" s="281">
        <v>0</v>
      </c>
      <c r="C47" s="295">
        <v>0</v>
      </c>
      <c r="E47" s="205" t="s">
        <v>264</v>
      </c>
      <c r="G47" s="209" t="s">
        <v>80</v>
      </c>
      <c r="H47" s="213"/>
      <c r="I47" s="213"/>
      <c r="J47" s="213"/>
      <c r="K47" s="206" t="s">
        <v>80</v>
      </c>
      <c r="L47" s="213"/>
      <c r="M47" s="206" t="s">
        <v>80</v>
      </c>
      <c r="N47" s="214"/>
      <c r="O47" s="213"/>
      <c r="P47" s="206" t="s">
        <v>80</v>
      </c>
      <c r="Q47" s="207"/>
      <c r="R47" s="210"/>
      <c r="T47" s="323"/>
      <c r="U47" s="207"/>
      <c r="V47" s="207"/>
      <c r="W47" s="214"/>
      <c r="X47" s="213"/>
      <c r="Y47" s="328" t="s">
        <v>80</v>
      </c>
      <c r="Z47" s="213"/>
      <c r="AA47" s="206" t="s">
        <v>80</v>
      </c>
      <c r="AB47" s="207"/>
      <c r="AC47" s="213"/>
      <c r="AD47" s="206" t="s">
        <v>80</v>
      </c>
      <c r="AE47" s="325"/>
      <c r="AF47" s="325"/>
      <c r="AG47" s="177">
        <v>0</v>
      </c>
    </row>
    <row r="48" spans="1:33" ht="15.75" thickBot="1">
      <c r="A48" s="278"/>
      <c r="B48" s="127" t="s">
        <v>82</v>
      </c>
      <c r="C48" s="128"/>
      <c r="E48" s="152"/>
      <c r="N48" s="168"/>
      <c r="U48" s="280"/>
      <c r="V48" s="280"/>
      <c r="W48" s="280"/>
    </row>
    <row r="49" spans="1:23" ht="16.5" thickBot="1">
      <c r="A49" s="123">
        <v>134560.39862914861</v>
      </c>
      <c r="B49" s="124">
        <v>4.75</v>
      </c>
      <c r="C49" s="125">
        <v>0</v>
      </c>
    </row>
    <row r="50" spans="1:23" ht="56.25" customHeight="1" thickBot="1">
      <c r="A50" s="117" t="s">
        <v>75</v>
      </c>
      <c r="B50" s="126" t="s">
        <v>95</v>
      </c>
      <c r="C50" s="119" t="s">
        <v>77</v>
      </c>
      <c r="E50" s="148" t="s">
        <v>115</v>
      </c>
      <c r="G50" s="149" t="s">
        <v>116</v>
      </c>
      <c r="H50" s="150" t="s">
        <v>117</v>
      </c>
      <c r="I50" s="261" t="s">
        <v>118</v>
      </c>
      <c r="J50" s="175" t="s">
        <v>89</v>
      </c>
      <c r="L50" s="149" t="s">
        <v>67</v>
      </c>
      <c r="M50" s="150" t="s">
        <v>68</v>
      </c>
      <c r="N50" s="261" t="s">
        <v>119</v>
      </c>
      <c r="O50" s="150" t="s">
        <v>91</v>
      </c>
      <c r="P50" s="261" t="s">
        <v>120</v>
      </c>
      <c r="Q50" s="176" t="s">
        <v>74</v>
      </c>
    </row>
    <row r="51" spans="1:23" ht="16.5" thickBot="1">
      <c r="A51" s="123">
        <v>400.5</v>
      </c>
      <c r="B51" s="124">
        <v>0</v>
      </c>
      <c r="C51" s="125">
        <v>1.3665620700000001</v>
      </c>
      <c r="E51" s="178" t="s">
        <v>121</v>
      </c>
      <c r="G51" s="209" t="s">
        <v>265</v>
      </c>
      <c r="H51" s="206" t="s">
        <v>266</v>
      </c>
      <c r="I51" s="206" t="s">
        <v>267</v>
      </c>
      <c r="J51" s="210">
        <v>25</v>
      </c>
      <c r="L51" s="323" t="s">
        <v>268</v>
      </c>
      <c r="M51" s="324" t="s">
        <v>226</v>
      </c>
      <c r="N51" s="206" t="s">
        <v>267</v>
      </c>
      <c r="O51" s="325">
        <v>1</v>
      </c>
      <c r="P51" s="325">
        <v>2</v>
      </c>
      <c r="Q51" s="167">
        <v>3</v>
      </c>
    </row>
    <row r="52" spans="1:23" ht="15.75" thickBot="1">
      <c r="A52" s="278"/>
      <c r="B52" s="127" t="s">
        <v>82</v>
      </c>
      <c r="C52" s="128"/>
      <c r="E52" s="152"/>
      <c r="N52" s="168"/>
      <c r="U52" s="280"/>
      <c r="V52" s="280"/>
      <c r="W52" s="280"/>
    </row>
    <row r="53" spans="1:23" ht="16.5" thickBot="1">
      <c r="A53" s="123">
        <f>IFERROR(A51*J51,0)</f>
        <v>10012.5</v>
      </c>
      <c r="B53" s="124">
        <f>IFERROR(B51*J51,0)</f>
        <v>0</v>
      </c>
      <c r="C53" s="125">
        <f>IFERROR(C51*J51,0)</f>
        <v>34.164051749999999</v>
      </c>
    </row>
    <row r="54" spans="1:23">
      <c r="A54" s="133"/>
      <c r="B54" s="132"/>
      <c r="C54" s="128"/>
    </row>
    <row r="55" spans="1:23" ht="21.75" thickBot="1">
      <c r="A55" s="129"/>
      <c r="B55" s="130"/>
      <c r="C55" s="131"/>
      <c r="E55" s="148" t="s">
        <v>122</v>
      </c>
      <c r="J55" s="257"/>
    </row>
    <row r="56" spans="1:23" ht="75.75" thickBot="1">
      <c r="A56" s="117" t="s">
        <v>75</v>
      </c>
      <c r="B56" s="126"/>
      <c r="C56" s="119" t="s">
        <v>77</v>
      </c>
      <c r="E56" s="152" t="s">
        <v>123</v>
      </c>
      <c r="F56" s="260" t="s">
        <v>56</v>
      </c>
      <c r="G56" s="288" t="s">
        <v>97</v>
      </c>
      <c r="H56" s="150" t="s">
        <v>124</v>
      </c>
      <c r="I56" s="261" t="s">
        <v>125</v>
      </c>
      <c r="J56" s="261" t="s">
        <v>269</v>
      </c>
      <c r="K56" s="261" t="s">
        <v>127</v>
      </c>
      <c r="L56" s="150" t="s">
        <v>89</v>
      </c>
      <c r="M56" s="175" t="s">
        <v>106</v>
      </c>
      <c r="N56" s="260" t="s">
        <v>107</v>
      </c>
      <c r="O56" s="149" t="s">
        <v>67</v>
      </c>
      <c r="P56" s="170" t="s">
        <v>68</v>
      </c>
      <c r="Q56" s="261" t="s">
        <v>128</v>
      </c>
      <c r="R56" s="261" t="s">
        <v>270</v>
      </c>
      <c r="S56" s="261" t="s">
        <v>130</v>
      </c>
      <c r="T56" s="150" t="s">
        <v>91</v>
      </c>
      <c r="U56" s="261" t="s">
        <v>92</v>
      </c>
      <c r="V56" s="176" t="s">
        <v>74</v>
      </c>
    </row>
    <row r="57" spans="1:23">
      <c r="A57" s="297">
        <v>54864</v>
      </c>
      <c r="B57" s="298"/>
      <c r="C57" s="299">
        <v>187.20364895999998</v>
      </c>
      <c r="E57" s="200" t="s">
        <v>271</v>
      </c>
      <c r="G57" s="321" t="s">
        <v>272</v>
      </c>
      <c r="H57" s="2">
        <v>1143</v>
      </c>
      <c r="I57" s="2">
        <v>160</v>
      </c>
      <c r="J57" s="2">
        <v>0.93</v>
      </c>
      <c r="K57" s="2">
        <v>0.85</v>
      </c>
      <c r="L57" s="2">
        <v>1</v>
      </c>
      <c r="M57" s="172">
        <v>20</v>
      </c>
      <c r="O57" s="321" t="s">
        <v>273</v>
      </c>
      <c r="P57" s="318" t="s">
        <v>226</v>
      </c>
      <c r="Q57" s="2">
        <v>160</v>
      </c>
      <c r="R57" s="2">
        <v>0.6</v>
      </c>
      <c r="S57" s="2">
        <v>0.55000000000000004</v>
      </c>
      <c r="T57" s="322">
        <v>1</v>
      </c>
      <c r="U57" s="322">
        <v>2</v>
      </c>
      <c r="V57" s="164">
        <v>3</v>
      </c>
    </row>
    <row r="58" spans="1:23">
      <c r="A58" s="297">
        <v>0</v>
      </c>
      <c r="B58" s="298"/>
      <c r="C58" s="299">
        <v>0</v>
      </c>
      <c r="E58" s="204"/>
      <c r="G58" s="321"/>
      <c r="H58" s="2"/>
      <c r="I58" s="2"/>
      <c r="J58" s="2"/>
      <c r="K58" s="2"/>
      <c r="L58" s="2"/>
      <c r="M58" s="172"/>
      <c r="O58" s="321"/>
      <c r="P58" s="318"/>
      <c r="Q58" s="2"/>
      <c r="R58" s="2"/>
      <c r="S58" s="2"/>
      <c r="T58" s="322"/>
      <c r="U58" s="322"/>
      <c r="V58" s="164">
        <v>0</v>
      </c>
    </row>
    <row r="59" spans="1:23" ht="15.75" thickBot="1">
      <c r="A59" s="297">
        <v>0</v>
      </c>
      <c r="B59" s="298"/>
      <c r="C59" s="299">
        <v>0</v>
      </c>
      <c r="E59" s="205"/>
      <c r="G59" s="323"/>
      <c r="H59" s="207"/>
      <c r="I59" s="207"/>
      <c r="J59" s="207"/>
      <c r="K59" s="207"/>
      <c r="L59" s="207"/>
      <c r="M59" s="210"/>
      <c r="O59" s="323"/>
      <c r="P59" s="324"/>
      <c r="Q59" s="207"/>
      <c r="R59" s="207"/>
      <c r="S59" s="207"/>
      <c r="T59" s="325"/>
      <c r="U59" s="325"/>
      <c r="V59" s="177">
        <v>0</v>
      </c>
    </row>
    <row r="60" spans="1:23" ht="15.75" thickBot="1">
      <c r="A60" s="278"/>
      <c r="B60" s="127" t="s">
        <v>82</v>
      </c>
      <c r="C60" s="128"/>
      <c r="E60" s="152"/>
      <c r="N60" s="168"/>
      <c r="U60" s="280"/>
      <c r="V60" s="280"/>
      <c r="W60" s="280"/>
    </row>
    <row r="61" spans="1:23" ht="16.5" thickBot="1">
      <c r="A61" s="123">
        <v>54864</v>
      </c>
      <c r="B61" s="124">
        <v>0</v>
      </c>
      <c r="C61" s="125">
        <v>187.20364895999998</v>
      </c>
    </row>
    <row r="62" spans="1:23">
      <c r="A62" s="133"/>
      <c r="B62" s="132"/>
      <c r="C62" s="128"/>
    </row>
    <row r="63" spans="1:23" ht="59.25" thickBot="1">
      <c r="A63" s="133"/>
      <c r="B63" s="132"/>
      <c r="C63" s="128"/>
      <c r="E63" s="148" t="s">
        <v>132</v>
      </c>
      <c r="J63" s="169" t="s">
        <v>133</v>
      </c>
      <c r="K63" s="169" t="s">
        <v>134</v>
      </c>
      <c r="L63" s="169" t="s">
        <v>135</v>
      </c>
    </row>
    <row r="64" spans="1:23" ht="45.75" thickBot="1">
      <c r="A64" s="117" t="s">
        <v>75</v>
      </c>
      <c r="B64" s="126" t="s">
        <v>95</v>
      </c>
      <c r="C64" s="119" t="s">
        <v>77</v>
      </c>
      <c r="E64" s="152" t="s">
        <v>136</v>
      </c>
      <c r="F64" s="260" t="s">
        <v>56</v>
      </c>
      <c r="G64" s="288" t="s">
        <v>137</v>
      </c>
      <c r="H64" s="150" t="s">
        <v>138</v>
      </c>
      <c r="I64" s="150" t="s">
        <v>106</v>
      </c>
      <c r="J64" s="150" t="s">
        <v>89</v>
      </c>
      <c r="K64" s="261" t="s">
        <v>139</v>
      </c>
      <c r="L64" s="263" t="s">
        <v>140</v>
      </c>
      <c r="N64" s="149" t="s">
        <v>67</v>
      </c>
      <c r="O64" s="261" t="s">
        <v>141</v>
      </c>
      <c r="P64" s="261" t="s">
        <v>142</v>
      </c>
      <c r="Q64" s="150" t="s">
        <v>143</v>
      </c>
      <c r="R64" s="150" t="s">
        <v>91</v>
      </c>
      <c r="S64" s="150" t="s">
        <v>92</v>
      </c>
      <c r="T64" s="176" t="s">
        <v>74</v>
      </c>
    </row>
    <row r="65" spans="1:23" ht="15.75" thickBot="1">
      <c r="A65" s="265">
        <v>0</v>
      </c>
      <c r="B65" s="298">
        <v>1.1332221772344595</v>
      </c>
      <c r="C65" s="295">
        <v>1.1332221772344595</v>
      </c>
      <c r="E65" s="200" t="s">
        <v>144</v>
      </c>
      <c r="G65" s="208" t="s">
        <v>274</v>
      </c>
      <c r="H65" s="2">
        <v>0.56000000000000005</v>
      </c>
      <c r="I65" s="2">
        <v>10</v>
      </c>
      <c r="J65" s="2">
        <v>4</v>
      </c>
      <c r="K65" s="2">
        <v>12</v>
      </c>
      <c r="L65" s="215" t="s">
        <v>266</v>
      </c>
      <c r="N65" s="321" t="s">
        <v>275</v>
      </c>
      <c r="O65" s="2" t="s">
        <v>226</v>
      </c>
      <c r="P65" s="2">
        <v>4.07</v>
      </c>
      <c r="Q65" s="2">
        <v>75</v>
      </c>
      <c r="R65" s="322">
        <v>1</v>
      </c>
      <c r="S65" s="322">
        <v>2</v>
      </c>
      <c r="T65" s="164">
        <v>3</v>
      </c>
    </row>
    <row r="66" spans="1:23" ht="15.75" thickBot="1">
      <c r="A66" s="265">
        <v>2086.3632604422605</v>
      </c>
      <c r="B66" s="298">
        <v>0</v>
      </c>
      <c r="C66" s="295">
        <v>7.118963535485455</v>
      </c>
      <c r="E66" s="200" t="s">
        <v>144</v>
      </c>
      <c r="G66" s="208" t="s">
        <v>266</v>
      </c>
      <c r="H66" s="2">
        <v>0.92</v>
      </c>
      <c r="I66" s="2">
        <v>10</v>
      </c>
      <c r="J66" s="2">
        <v>4</v>
      </c>
      <c r="K66" s="2">
        <v>12</v>
      </c>
      <c r="L66" s="215" t="s">
        <v>276</v>
      </c>
      <c r="N66" s="321" t="s">
        <v>275</v>
      </c>
      <c r="O66" s="2" t="s">
        <v>226</v>
      </c>
      <c r="P66" s="2">
        <v>4.07</v>
      </c>
      <c r="Q66" s="2">
        <v>75</v>
      </c>
      <c r="R66" s="322">
        <v>1</v>
      </c>
      <c r="S66" s="322">
        <v>2</v>
      </c>
      <c r="T66" s="164">
        <v>3</v>
      </c>
    </row>
    <row r="67" spans="1:23" ht="15.75" thickBot="1">
      <c r="A67" s="265">
        <v>0</v>
      </c>
      <c r="B67" s="298">
        <v>0</v>
      </c>
      <c r="C67" s="295">
        <v>0</v>
      </c>
      <c r="E67" s="200" t="s">
        <v>144</v>
      </c>
      <c r="G67" s="209" t="s">
        <v>145</v>
      </c>
      <c r="H67" s="207"/>
      <c r="I67" s="207"/>
      <c r="J67" s="207"/>
      <c r="K67" s="207"/>
      <c r="L67" s="216" t="s">
        <v>80</v>
      </c>
      <c r="N67" s="323"/>
      <c r="O67" s="207"/>
      <c r="P67" s="207"/>
      <c r="Q67" s="207"/>
      <c r="R67" s="325"/>
      <c r="S67" s="325"/>
      <c r="T67" s="177">
        <v>0</v>
      </c>
    </row>
    <row r="68" spans="1:23" ht="15.75" thickBot="1">
      <c r="A68" s="278"/>
      <c r="B68" s="127" t="s">
        <v>82</v>
      </c>
      <c r="C68" s="128"/>
      <c r="E68" s="152"/>
      <c r="N68" s="168"/>
      <c r="U68" s="280"/>
      <c r="V68" s="280"/>
      <c r="W68" s="280"/>
    </row>
    <row r="69" spans="1:23" ht="16.5" thickBot="1">
      <c r="A69" s="123">
        <v>8345.4530417690421</v>
      </c>
      <c r="B69" s="124">
        <v>4.532888708937838</v>
      </c>
      <c r="C69" s="125">
        <v>33.008742850879656</v>
      </c>
    </row>
    <row r="70" spans="1:23">
      <c r="A70" s="133"/>
      <c r="B70" s="132"/>
      <c r="C70" s="128"/>
      <c r="E70" s="152"/>
    </row>
    <row r="71" spans="1:23" ht="21.75" thickBot="1">
      <c r="A71" s="133"/>
      <c r="B71" s="132"/>
      <c r="C71" s="128"/>
      <c r="E71" s="148" t="s">
        <v>146</v>
      </c>
    </row>
    <row r="72" spans="1:23" ht="45.75" customHeight="1" thickBot="1">
      <c r="A72" s="117" t="s">
        <v>75</v>
      </c>
      <c r="B72" s="126" t="s">
        <v>95</v>
      </c>
      <c r="C72" s="119" t="s">
        <v>77</v>
      </c>
      <c r="E72" s="300" t="s">
        <v>147</v>
      </c>
      <c r="F72" s="150" t="s">
        <v>148</v>
      </c>
      <c r="G72" s="179" t="s">
        <v>148</v>
      </c>
      <c r="H72" s="150" t="s">
        <v>89</v>
      </c>
      <c r="I72" s="263" t="s">
        <v>149</v>
      </c>
      <c r="K72" s="149" t="s">
        <v>67</v>
      </c>
      <c r="L72" s="170" t="s">
        <v>141</v>
      </c>
      <c r="M72" s="150" t="s">
        <v>150</v>
      </c>
      <c r="N72" s="261" t="s">
        <v>91</v>
      </c>
      <c r="O72" s="261" t="s">
        <v>151</v>
      </c>
      <c r="P72" s="176" t="s">
        <v>74</v>
      </c>
    </row>
    <row r="73" spans="1:23">
      <c r="A73" s="265">
        <v>0</v>
      </c>
      <c r="B73" s="298">
        <v>0.22044156750000007</v>
      </c>
      <c r="C73" s="282">
        <v>0.22044156750000007</v>
      </c>
      <c r="E73" s="200" t="s">
        <v>277</v>
      </c>
      <c r="F73" s="329" t="s">
        <v>274</v>
      </c>
      <c r="G73" s="168" t="s">
        <v>278</v>
      </c>
      <c r="H73" s="2">
        <v>25</v>
      </c>
      <c r="I73" s="172">
        <v>2.2000000000000002</v>
      </c>
      <c r="K73" s="321" t="s">
        <v>279</v>
      </c>
      <c r="L73" s="2" t="s">
        <v>226</v>
      </c>
      <c r="M73" s="2">
        <v>1.8</v>
      </c>
      <c r="N73" s="322">
        <v>1</v>
      </c>
      <c r="O73" s="322">
        <v>2</v>
      </c>
      <c r="P73" s="164">
        <v>3</v>
      </c>
    </row>
    <row r="74" spans="1:23">
      <c r="A74" s="265">
        <v>158.58178935000001</v>
      </c>
      <c r="B74" s="298">
        <v>0</v>
      </c>
      <c r="C74" s="282">
        <v>0.54110326671270903</v>
      </c>
      <c r="E74" s="204" t="s">
        <v>280</v>
      </c>
      <c r="F74" s="329" t="s">
        <v>266</v>
      </c>
      <c r="G74" s="168" t="s">
        <v>281</v>
      </c>
      <c r="H74" s="2">
        <v>25</v>
      </c>
      <c r="I74" s="172">
        <v>2</v>
      </c>
      <c r="K74" s="212" t="s">
        <v>279</v>
      </c>
      <c r="L74" s="2" t="s">
        <v>241</v>
      </c>
      <c r="M74" s="2">
        <v>1.5</v>
      </c>
      <c r="N74" s="322">
        <v>3</v>
      </c>
      <c r="O74" s="322">
        <v>4</v>
      </c>
      <c r="P74" s="164">
        <v>7</v>
      </c>
    </row>
    <row r="75" spans="1:23">
      <c r="A75" s="265">
        <v>0</v>
      </c>
      <c r="B75" s="298">
        <v>0</v>
      </c>
      <c r="C75" s="282">
        <v>0</v>
      </c>
      <c r="E75" s="204" t="s">
        <v>152</v>
      </c>
      <c r="F75" s="329" t="s">
        <v>145</v>
      </c>
      <c r="G75" s="168" t="s">
        <v>282</v>
      </c>
      <c r="H75" s="2"/>
      <c r="I75" s="172" t="s">
        <v>251</v>
      </c>
      <c r="K75" s="212"/>
      <c r="L75" s="2"/>
      <c r="M75" s="2"/>
      <c r="N75" s="322"/>
      <c r="O75" s="322"/>
      <c r="P75" s="164">
        <v>0</v>
      </c>
    </row>
    <row r="76" spans="1:23">
      <c r="A76" s="265">
        <v>0</v>
      </c>
      <c r="B76" s="298">
        <v>0</v>
      </c>
      <c r="C76" s="282">
        <v>0</v>
      </c>
      <c r="E76" s="204" t="s">
        <v>152</v>
      </c>
      <c r="F76" s="329" t="s">
        <v>145</v>
      </c>
      <c r="G76" s="168" t="s">
        <v>282</v>
      </c>
      <c r="H76" s="2"/>
      <c r="I76" s="172" t="s">
        <v>251</v>
      </c>
      <c r="K76" s="212"/>
      <c r="L76" s="2"/>
      <c r="M76" s="2"/>
      <c r="N76" s="322"/>
      <c r="O76" s="322"/>
      <c r="P76" s="164">
        <v>0</v>
      </c>
    </row>
    <row r="77" spans="1:23" ht="15.75" thickBot="1">
      <c r="A77" s="265">
        <v>0</v>
      </c>
      <c r="B77" s="298">
        <v>0</v>
      </c>
      <c r="C77" s="282">
        <v>0</v>
      </c>
      <c r="E77" s="205" t="s">
        <v>152</v>
      </c>
      <c r="F77" s="330" t="s">
        <v>145</v>
      </c>
      <c r="G77" s="180" t="s">
        <v>282</v>
      </c>
      <c r="H77" s="207"/>
      <c r="I77" s="303" t="s">
        <v>251</v>
      </c>
      <c r="K77" s="217"/>
      <c r="L77" s="207"/>
      <c r="M77" s="207"/>
      <c r="N77" s="325"/>
      <c r="O77" s="325"/>
      <c r="P77" s="177">
        <v>0</v>
      </c>
    </row>
    <row r="78" spans="1:23" ht="15.75" thickBot="1">
      <c r="A78" s="278"/>
      <c r="B78" s="127" t="s">
        <v>82</v>
      </c>
      <c r="C78" s="128"/>
      <c r="E78" s="152"/>
      <c r="N78" s="168"/>
      <c r="U78" s="280"/>
      <c r="V78" s="280"/>
      <c r="W78" s="280"/>
    </row>
    <row r="79" spans="1:23" ht="16.5" thickBot="1">
      <c r="A79" s="123">
        <v>3964.54473375</v>
      </c>
      <c r="B79" s="124">
        <v>5.5110391875000015</v>
      </c>
      <c r="C79" s="134">
        <v>19.038620855317728</v>
      </c>
    </row>
    <row r="80" spans="1:23" ht="21.75" thickBot="1">
      <c r="A80" s="133"/>
      <c r="B80" s="132"/>
      <c r="C80" s="128"/>
      <c r="E80" s="148" t="s">
        <v>153</v>
      </c>
    </row>
    <row r="81" spans="1:23" ht="45.75" thickBot="1">
      <c r="A81" s="117" t="s">
        <v>154</v>
      </c>
      <c r="B81" s="126" t="s">
        <v>155</v>
      </c>
      <c r="C81" s="119" t="s">
        <v>156</v>
      </c>
      <c r="F81" s="181" t="s">
        <v>157</v>
      </c>
      <c r="G81" s="150" t="s">
        <v>148</v>
      </c>
      <c r="H81" s="261" t="s">
        <v>158</v>
      </c>
      <c r="I81" s="261" t="s">
        <v>159</v>
      </c>
      <c r="J81" s="261" t="s">
        <v>160</v>
      </c>
      <c r="K81" s="150" t="s">
        <v>161</v>
      </c>
      <c r="L81" s="261" t="s">
        <v>162</v>
      </c>
      <c r="M81" s="261" t="s">
        <v>46</v>
      </c>
      <c r="N81" s="170" t="s">
        <v>163</v>
      </c>
      <c r="O81" s="182" t="s">
        <v>90</v>
      </c>
    </row>
    <row r="82" spans="1:23">
      <c r="A82" s="265">
        <v>64733.029882527466</v>
      </c>
      <c r="B82" s="298">
        <v>0</v>
      </c>
      <c r="C82" s="282">
        <v>220.87816058336725</v>
      </c>
      <c r="E82" s="183" t="s">
        <v>164</v>
      </c>
      <c r="F82" s="212">
        <v>2075</v>
      </c>
      <c r="G82" s="201" t="s">
        <v>266</v>
      </c>
      <c r="H82" s="2">
        <v>0.75</v>
      </c>
      <c r="I82" s="318" t="s">
        <v>283</v>
      </c>
      <c r="J82" s="2">
        <v>1</v>
      </c>
      <c r="K82" s="2">
        <v>5</v>
      </c>
      <c r="L82" s="2">
        <v>130</v>
      </c>
      <c r="M82" s="322">
        <v>1</v>
      </c>
      <c r="N82" s="322">
        <v>2</v>
      </c>
      <c r="O82" s="164">
        <v>3</v>
      </c>
    </row>
    <row r="83" spans="1:23" ht="15.75" thickBot="1">
      <c r="A83" s="265">
        <v>0</v>
      </c>
      <c r="B83" s="298">
        <v>0.59309624242424241</v>
      </c>
      <c r="C83" s="282">
        <v>0.59309624242424241</v>
      </c>
      <c r="E83" s="184" t="s">
        <v>165</v>
      </c>
      <c r="F83" s="217">
        <v>3</v>
      </c>
      <c r="G83" s="218" t="s">
        <v>274</v>
      </c>
      <c r="H83" s="207"/>
      <c r="I83" s="207"/>
      <c r="J83" s="207">
        <v>1</v>
      </c>
      <c r="K83" s="207">
        <v>5</v>
      </c>
      <c r="L83" s="207">
        <v>130</v>
      </c>
      <c r="M83" s="325">
        <v>1</v>
      </c>
      <c r="N83" s="325">
        <v>2</v>
      </c>
      <c r="O83" s="177">
        <v>3</v>
      </c>
    </row>
    <row r="84" spans="1:23" ht="15.75" thickBot="1">
      <c r="A84" s="278"/>
      <c r="B84" s="127" t="s">
        <v>82</v>
      </c>
      <c r="C84" s="128"/>
      <c r="E84" s="152"/>
      <c r="N84" s="168"/>
      <c r="U84" s="280"/>
      <c r="V84" s="280"/>
      <c r="W84" s="280"/>
    </row>
    <row r="85" spans="1:23" ht="16.5" thickBot="1">
      <c r="A85" s="123">
        <v>64733.029882527466</v>
      </c>
      <c r="B85" s="124">
        <v>0.59309624242424241</v>
      </c>
      <c r="C85" s="125">
        <v>221.4712568257915</v>
      </c>
    </row>
    <row r="86" spans="1:23" ht="19.5" thickBot="1">
      <c r="A86" s="133"/>
      <c r="B86" s="132"/>
      <c r="C86" s="128"/>
      <c r="E86" s="185" t="s">
        <v>166</v>
      </c>
    </row>
    <row r="87" spans="1:23" ht="45" customHeight="1" thickBot="1">
      <c r="A87" s="117" t="s">
        <v>75</v>
      </c>
      <c r="B87" s="126"/>
      <c r="C87" s="119" t="s">
        <v>77</v>
      </c>
      <c r="E87" s="257" t="s">
        <v>167</v>
      </c>
      <c r="F87" s="149" t="s">
        <v>168</v>
      </c>
      <c r="G87" s="261" t="s">
        <v>169</v>
      </c>
      <c r="H87" s="150" t="s">
        <v>89</v>
      </c>
      <c r="I87" s="150" t="s">
        <v>124</v>
      </c>
      <c r="J87" s="263" t="s">
        <v>170</v>
      </c>
      <c r="L87" s="149" t="s">
        <v>67</v>
      </c>
      <c r="M87" s="261" t="s">
        <v>141</v>
      </c>
      <c r="N87" s="150" t="s">
        <v>91</v>
      </c>
      <c r="O87" s="150" t="s">
        <v>92</v>
      </c>
      <c r="P87" s="182" t="s">
        <v>74</v>
      </c>
    </row>
    <row r="88" spans="1:23">
      <c r="A88" s="265">
        <v>16330</v>
      </c>
      <c r="B88" s="304"/>
      <c r="C88" s="295">
        <v>55.720246199999998</v>
      </c>
      <c r="E88" s="183" t="s">
        <v>284</v>
      </c>
      <c r="F88" s="212">
        <v>10</v>
      </c>
      <c r="G88" s="331">
        <v>0.9</v>
      </c>
      <c r="H88" s="2">
        <v>1</v>
      </c>
      <c r="I88" s="2">
        <v>912</v>
      </c>
      <c r="J88" s="215" t="s">
        <v>285</v>
      </c>
      <c r="L88" s="321" t="s">
        <v>286</v>
      </c>
      <c r="M88" s="318" t="s">
        <v>226</v>
      </c>
      <c r="N88" s="322">
        <v>1</v>
      </c>
      <c r="O88" s="322">
        <v>2</v>
      </c>
      <c r="P88" s="186">
        <v>3</v>
      </c>
    </row>
    <row r="89" spans="1:23">
      <c r="A89" s="265">
        <v>6099</v>
      </c>
      <c r="B89" s="304"/>
      <c r="C89" s="295">
        <v>20.81064186</v>
      </c>
      <c r="E89" s="219" t="s">
        <v>287</v>
      </c>
      <c r="F89" s="212">
        <v>3</v>
      </c>
      <c r="G89" s="331">
        <v>0.92</v>
      </c>
      <c r="H89" s="2">
        <v>3</v>
      </c>
      <c r="I89" s="2">
        <v>2000</v>
      </c>
      <c r="J89" s="215" t="s">
        <v>285</v>
      </c>
      <c r="L89" s="212" t="s">
        <v>225</v>
      </c>
      <c r="M89" s="2" t="s">
        <v>241</v>
      </c>
      <c r="N89" s="322">
        <v>1</v>
      </c>
      <c r="O89" s="322">
        <v>2</v>
      </c>
      <c r="P89" s="186">
        <v>3</v>
      </c>
    </row>
    <row r="90" spans="1:23">
      <c r="A90" s="265" t="s">
        <v>288</v>
      </c>
      <c r="B90" s="304"/>
      <c r="C90" s="295" t="s">
        <v>288</v>
      </c>
      <c r="E90" s="219"/>
      <c r="F90" s="212"/>
      <c r="G90" s="331"/>
      <c r="H90" s="2"/>
      <c r="I90" s="2"/>
      <c r="J90" s="215" t="s">
        <v>145</v>
      </c>
      <c r="L90" s="212"/>
      <c r="M90" s="2"/>
      <c r="N90" s="322"/>
      <c r="O90" s="322"/>
      <c r="P90" s="186">
        <v>0</v>
      </c>
    </row>
    <row r="91" spans="1:23">
      <c r="A91" s="265" t="s">
        <v>288</v>
      </c>
      <c r="B91" s="304"/>
      <c r="C91" s="295" t="s">
        <v>288</v>
      </c>
      <c r="E91" s="219"/>
      <c r="F91" s="212"/>
      <c r="G91" s="331"/>
      <c r="H91" s="2"/>
      <c r="I91" s="2"/>
      <c r="J91" s="215" t="s">
        <v>145</v>
      </c>
      <c r="L91" s="212"/>
      <c r="M91" s="2"/>
      <c r="N91" s="322"/>
      <c r="O91" s="322"/>
      <c r="P91" s="186">
        <v>0</v>
      </c>
    </row>
    <row r="92" spans="1:23">
      <c r="A92" s="265" t="s">
        <v>288</v>
      </c>
      <c r="B92" s="304"/>
      <c r="C92" s="295" t="s">
        <v>288</v>
      </c>
      <c r="E92" s="219"/>
      <c r="F92" s="212"/>
      <c r="G92" s="331"/>
      <c r="H92" s="2"/>
      <c r="I92" s="2"/>
      <c r="J92" s="215" t="s">
        <v>145</v>
      </c>
      <c r="L92" s="212"/>
      <c r="M92" s="2"/>
      <c r="N92" s="322"/>
      <c r="O92" s="322"/>
      <c r="P92" s="186">
        <v>0</v>
      </c>
    </row>
    <row r="93" spans="1:23" ht="15.75" thickBot="1">
      <c r="A93" s="265" t="s">
        <v>288</v>
      </c>
      <c r="B93" s="304"/>
      <c r="C93" s="295" t="s">
        <v>288</v>
      </c>
      <c r="E93" s="184"/>
      <c r="F93" s="217"/>
      <c r="G93" s="332"/>
      <c r="H93" s="207"/>
      <c r="I93" s="207"/>
      <c r="J93" s="216" t="s">
        <v>145</v>
      </c>
      <c r="L93" s="217"/>
      <c r="M93" s="207"/>
      <c r="N93" s="325"/>
      <c r="O93" s="325"/>
      <c r="P93" s="177">
        <v>0</v>
      </c>
    </row>
    <row r="94" spans="1:23" ht="15.75" thickBot="1">
      <c r="A94" s="278"/>
      <c r="B94" s="127" t="s">
        <v>82</v>
      </c>
      <c r="C94" s="128"/>
      <c r="N94" s="168"/>
      <c r="U94" s="280"/>
      <c r="V94" s="280"/>
      <c r="W94" s="280"/>
    </row>
    <row r="95" spans="1:23" ht="16.5" thickBot="1">
      <c r="A95" s="123">
        <v>34627</v>
      </c>
      <c r="B95" s="124">
        <v>0</v>
      </c>
      <c r="C95" s="125">
        <v>118.15217178</v>
      </c>
      <c r="I95" s="168"/>
    </row>
    <row r="96" spans="1:23" ht="18.75">
      <c r="A96" s="133"/>
      <c r="B96" s="132"/>
      <c r="C96" s="128"/>
      <c r="E96" s="185" t="s">
        <v>172</v>
      </c>
    </row>
    <row r="97" spans="1:23" ht="15.75" thickBot="1">
      <c r="A97" s="133"/>
      <c r="B97" s="132"/>
      <c r="C97" s="128"/>
      <c r="E97" s="178" t="s">
        <v>173</v>
      </c>
    </row>
    <row r="98" spans="1:23" ht="45.75" thickBot="1">
      <c r="A98" s="117" t="s">
        <v>75</v>
      </c>
      <c r="B98" s="126"/>
      <c r="C98" s="119" t="s">
        <v>77</v>
      </c>
      <c r="E98" s="257" t="s">
        <v>123</v>
      </c>
      <c r="F98" s="149" t="s">
        <v>124</v>
      </c>
      <c r="G98" s="187" t="s">
        <v>174</v>
      </c>
      <c r="H98" s="261" t="s">
        <v>175</v>
      </c>
      <c r="I98" s="188" t="s">
        <v>89</v>
      </c>
      <c r="K98" s="149" t="s">
        <v>67</v>
      </c>
      <c r="L98" s="170" t="s">
        <v>141</v>
      </c>
      <c r="M98" s="150" t="s">
        <v>91</v>
      </c>
      <c r="N98" s="261" t="s">
        <v>92</v>
      </c>
      <c r="O98" s="182" t="s">
        <v>74</v>
      </c>
    </row>
    <row r="99" spans="1:23">
      <c r="A99" s="265">
        <v>35.815295815295819</v>
      </c>
      <c r="B99" s="298"/>
      <c r="C99" s="282">
        <v>0.12220680346320346</v>
      </c>
      <c r="E99" s="200" t="s">
        <v>234</v>
      </c>
      <c r="F99" s="212">
        <v>730</v>
      </c>
      <c r="G99" s="2">
        <v>80</v>
      </c>
      <c r="H99" s="2">
        <v>9.9</v>
      </c>
      <c r="I99" s="172">
        <v>25</v>
      </c>
      <c r="K99" s="321" t="s">
        <v>289</v>
      </c>
      <c r="L99" s="2" t="s">
        <v>226</v>
      </c>
      <c r="M99" s="322">
        <v>1</v>
      </c>
      <c r="N99" s="322">
        <v>2</v>
      </c>
      <c r="O99" s="164">
        <v>3</v>
      </c>
    </row>
    <row r="100" spans="1:23" ht="15.75" thickBot="1">
      <c r="A100" s="265">
        <v>0</v>
      </c>
      <c r="B100" s="298"/>
      <c r="C100" s="282">
        <v>0</v>
      </c>
      <c r="E100" s="205" t="s">
        <v>80</v>
      </c>
      <c r="F100" s="217"/>
      <c r="G100" s="207"/>
      <c r="H100" s="207"/>
      <c r="I100" s="210"/>
      <c r="K100" s="217"/>
      <c r="L100" s="207"/>
      <c r="M100" s="325"/>
      <c r="N100" s="325"/>
      <c r="O100" s="177">
        <v>0</v>
      </c>
    </row>
    <row r="101" spans="1:23" ht="15.75" thickBot="1">
      <c r="A101" s="278"/>
      <c r="B101" s="127" t="s">
        <v>82</v>
      </c>
      <c r="C101" s="128"/>
      <c r="E101" s="152"/>
      <c r="N101" s="168"/>
      <c r="U101" s="280"/>
      <c r="V101" s="280"/>
      <c r="W101" s="280"/>
    </row>
    <row r="102" spans="1:23" ht="16.5" thickBot="1">
      <c r="A102" s="123">
        <v>895.38239538239543</v>
      </c>
      <c r="B102" s="124">
        <v>0</v>
      </c>
      <c r="C102" s="125">
        <v>3.0551700865800866</v>
      </c>
    </row>
    <row r="103" spans="1:23" ht="18.75">
      <c r="A103" s="307" t="s">
        <v>177</v>
      </c>
      <c r="B103" s="308" t="s">
        <v>178</v>
      </c>
      <c r="C103" s="309" t="s">
        <v>179</v>
      </c>
      <c r="E103" s="185" t="s">
        <v>180</v>
      </c>
    </row>
    <row r="104" spans="1:23" ht="19.5" thickBot="1">
      <c r="A104" s="102">
        <f>SUM(A102,A95,A85,A79,A69,A53,A49,A61,A38,A30)</f>
        <v>330940.17184209748</v>
      </c>
      <c r="B104" s="135">
        <f>SUM(B102,B95,B85,B79,B69,B53,B49,B61,B38)</f>
        <v>15.387024138862081</v>
      </c>
      <c r="C104" s="136">
        <f>C102+C95+C85+C79+C69+C53+C49+C61+C38+C30</f>
        <v>672.93433329229617</v>
      </c>
    </row>
    <row r="105" spans="1:23" ht="15.75" thickBot="1">
      <c r="A105" s="137"/>
      <c r="C105" s="138"/>
    </row>
    <row r="106" spans="1:23" ht="33">
      <c r="A106" s="310" t="s">
        <v>181</v>
      </c>
      <c r="B106" s="311" t="s">
        <v>182</v>
      </c>
      <c r="C106" s="311" t="s">
        <v>183</v>
      </c>
      <c r="D106" s="312" t="s">
        <v>184</v>
      </c>
    </row>
    <row r="107" spans="1:23" ht="19.5" thickBot="1">
      <c r="A107" s="99">
        <f>J4/(A104/1000)</f>
        <v>755.42355166021753</v>
      </c>
      <c r="B107" s="100">
        <f>J4/B104</f>
        <v>16247.456151614791</v>
      </c>
      <c r="C107" s="100">
        <f>J4/(C104)</f>
        <v>371.50727438275891</v>
      </c>
      <c r="D107" s="101">
        <f>J4/(A104/1000*'Lists &amp; Other References'!H2+'Example Form'!B104*'Lists &amp; Other References'!H3)</f>
        <v>1318.5058550509077</v>
      </c>
    </row>
    <row r="108" spans="1:23" ht="30.75" thickBot="1">
      <c r="A108" s="313" t="s">
        <v>185</v>
      </c>
      <c r="B108" s="314" t="s">
        <v>186</v>
      </c>
      <c r="C108" s="314" t="s">
        <v>187</v>
      </c>
      <c r="D108" s="315" t="s">
        <v>187</v>
      </c>
    </row>
    <row r="109" spans="1:23" ht="18.75">
      <c r="E109" s="220" t="s">
        <v>188</v>
      </c>
    </row>
    <row r="111" spans="1:23" ht="19.5" thickBot="1">
      <c r="E111" s="185" t="s">
        <v>189</v>
      </c>
    </row>
    <row r="112" spans="1:23" ht="30.75" thickBot="1">
      <c r="E112" s="257" t="s">
        <v>123</v>
      </c>
      <c r="F112" s="288" t="s">
        <v>190</v>
      </c>
      <c r="G112" s="187" t="s">
        <v>89</v>
      </c>
      <c r="H112" s="263" t="s">
        <v>191</v>
      </c>
      <c r="J112" s="149" t="s">
        <v>67</v>
      </c>
      <c r="K112" s="170" t="s">
        <v>141</v>
      </c>
      <c r="L112" s="150" t="s">
        <v>91</v>
      </c>
      <c r="M112" s="261" t="s">
        <v>92</v>
      </c>
      <c r="N112" s="182" t="s">
        <v>74</v>
      </c>
    </row>
    <row r="113" spans="5:15">
      <c r="E113" s="112" t="s">
        <v>192</v>
      </c>
      <c r="F113" s="272" t="s">
        <v>226</v>
      </c>
      <c r="G113" s="6">
        <v>10</v>
      </c>
      <c r="H113" s="222" t="s">
        <v>266</v>
      </c>
      <c r="J113" s="272" t="s">
        <v>225</v>
      </c>
      <c r="K113" s="269" t="s">
        <v>233</v>
      </c>
      <c r="L113" s="273"/>
      <c r="M113" s="273"/>
      <c r="N113" s="164">
        <f>SUM(L113:M113)</f>
        <v>0</v>
      </c>
    </row>
    <row r="114" spans="5:15">
      <c r="E114" s="113" t="s">
        <v>290</v>
      </c>
      <c r="F114" s="272" t="s">
        <v>241</v>
      </c>
      <c r="G114" s="6">
        <v>10</v>
      </c>
      <c r="H114" s="222" t="s">
        <v>274</v>
      </c>
      <c r="J114" s="272" t="s">
        <v>259</v>
      </c>
      <c r="K114" s="269" t="s">
        <v>291</v>
      </c>
      <c r="L114" s="273"/>
      <c r="M114" s="273"/>
      <c r="N114" s="186">
        <f>SUM(L114:M114)</f>
        <v>0</v>
      </c>
    </row>
    <row r="115" spans="5:15" ht="15.75" thickBot="1">
      <c r="E115" s="114" t="s">
        <v>292</v>
      </c>
      <c r="F115" s="274" t="s">
        <v>247</v>
      </c>
      <c r="G115" s="9">
        <v>10</v>
      </c>
      <c r="H115" s="223" t="s">
        <v>145</v>
      </c>
      <c r="J115" s="274" t="s">
        <v>268</v>
      </c>
      <c r="K115" s="276" t="s">
        <v>293</v>
      </c>
      <c r="L115" s="277"/>
      <c r="M115" s="277"/>
      <c r="N115" s="177">
        <f>SUM(L115:M115)</f>
        <v>0</v>
      </c>
    </row>
    <row r="117" spans="5:15" ht="18.75">
      <c r="E117" s="185" t="s">
        <v>193</v>
      </c>
    </row>
    <row r="118" spans="5:15" ht="46.5" thickBot="1">
      <c r="E118" s="169" t="s">
        <v>194</v>
      </c>
      <c r="G118" s="169" t="s">
        <v>294</v>
      </c>
      <c r="H118" s="169" t="s">
        <v>196</v>
      </c>
      <c r="L118" s="255" t="s">
        <v>197</v>
      </c>
      <c r="M118" s="255"/>
      <c r="N118" s="255"/>
    </row>
    <row r="119" spans="5:15" ht="45.75" thickBot="1">
      <c r="E119" s="300" t="s">
        <v>198</v>
      </c>
      <c r="F119" s="288" t="s">
        <v>199</v>
      </c>
      <c r="G119" s="261" t="s">
        <v>200</v>
      </c>
      <c r="H119" s="261" t="s">
        <v>201</v>
      </c>
      <c r="I119" s="261" t="s">
        <v>202</v>
      </c>
      <c r="J119" s="263" t="s">
        <v>203</v>
      </c>
      <c r="L119" s="288" t="s">
        <v>204</v>
      </c>
      <c r="M119" s="150" t="s">
        <v>91</v>
      </c>
      <c r="N119" s="261" t="s">
        <v>92</v>
      </c>
      <c r="O119" s="182" t="s">
        <v>74</v>
      </c>
    </row>
    <row r="120" spans="5:15" ht="54.95" customHeight="1">
      <c r="E120" s="333" t="s">
        <v>295</v>
      </c>
      <c r="F120" s="334" t="s">
        <v>296</v>
      </c>
      <c r="G120" s="335" t="s">
        <v>297</v>
      </c>
      <c r="H120" s="335" t="s">
        <v>298</v>
      </c>
      <c r="I120" s="233">
        <v>0.8</v>
      </c>
      <c r="J120" s="234">
        <v>1</v>
      </c>
      <c r="L120" s="336" t="s">
        <v>299</v>
      </c>
      <c r="M120" s="273"/>
      <c r="N120" s="273"/>
      <c r="O120" s="164">
        <f>SUM(M120:N120)</f>
        <v>0</v>
      </c>
    </row>
    <row r="121" spans="5:15" ht="54.95" customHeight="1">
      <c r="E121" s="229"/>
      <c r="F121" s="235"/>
      <c r="G121" s="236"/>
      <c r="H121" s="236"/>
      <c r="I121" s="237"/>
      <c r="J121" s="234"/>
      <c r="L121" s="227"/>
      <c r="M121" s="273"/>
      <c r="N121" s="273"/>
      <c r="O121" s="186">
        <f>SUM(M121:N121)</f>
        <v>0</v>
      </c>
    </row>
    <row r="122" spans="5:15" ht="54.95" customHeight="1" thickBot="1">
      <c r="E122" s="230"/>
      <c r="F122" s="238"/>
      <c r="G122" s="239"/>
      <c r="H122" s="239"/>
      <c r="I122" s="240"/>
      <c r="J122" s="241"/>
      <c r="L122" s="228"/>
      <c r="M122" s="9"/>
      <c r="N122" s="277"/>
      <c r="O122" s="177">
        <f>SUM(M122:N122)</f>
        <v>0</v>
      </c>
    </row>
    <row r="125" spans="5:15" ht="18.75">
      <c r="E125" s="185" t="s">
        <v>205</v>
      </c>
    </row>
    <row r="126" spans="5:15" ht="80.25" thickBot="1">
      <c r="E126" s="169" t="s">
        <v>206</v>
      </c>
      <c r="F126" s="169" t="s">
        <v>207</v>
      </c>
      <c r="G126" s="169" t="s">
        <v>208</v>
      </c>
      <c r="H126" s="169" t="s">
        <v>209</v>
      </c>
      <c r="I126" s="169" t="s">
        <v>210</v>
      </c>
      <c r="K126" s="243"/>
      <c r="L126" s="243"/>
      <c r="M126" s="221"/>
    </row>
    <row r="127" spans="5:15" ht="60.75" thickBot="1">
      <c r="E127" s="300" t="s">
        <v>211</v>
      </c>
      <c r="F127" s="288" t="s">
        <v>212</v>
      </c>
      <c r="G127" s="261" t="s">
        <v>213</v>
      </c>
      <c r="H127" s="261" t="s">
        <v>214</v>
      </c>
      <c r="I127" s="263" t="s">
        <v>215</v>
      </c>
      <c r="K127" s="288" t="s">
        <v>300</v>
      </c>
      <c r="L127" s="150" t="s">
        <v>91</v>
      </c>
      <c r="M127" s="261" t="s">
        <v>92</v>
      </c>
      <c r="N127" s="182" t="s">
        <v>74</v>
      </c>
    </row>
    <row r="128" spans="5:15" ht="54.95" customHeight="1" thickBot="1">
      <c r="E128" s="333" t="s">
        <v>301</v>
      </c>
      <c r="F128" s="334" t="s">
        <v>302</v>
      </c>
      <c r="G128" s="335" t="s">
        <v>303</v>
      </c>
      <c r="H128" s="335" t="s">
        <v>304</v>
      </c>
      <c r="I128" s="337" t="s">
        <v>305</v>
      </c>
      <c r="K128" s="338" t="s">
        <v>306</v>
      </c>
      <c r="L128" s="273">
        <v>1</v>
      </c>
      <c r="M128" s="273">
        <v>2</v>
      </c>
      <c r="N128" s="177">
        <f>SUM(L128:M128)</f>
        <v>3</v>
      </c>
    </row>
    <row r="129" spans="5:14" ht="54.95" customHeight="1" thickBot="1">
      <c r="E129" s="230"/>
      <c r="F129" s="228"/>
      <c r="G129" s="231"/>
      <c r="H129" s="231"/>
      <c r="I129" s="232"/>
      <c r="K129" s="8"/>
      <c r="L129" s="277"/>
      <c r="M129" s="277"/>
      <c r="N129" s="177">
        <f>SUM(L129:M129)</f>
        <v>0</v>
      </c>
    </row>
    <row r="132" spans="5:14" ht="18.75">
      <c r="E132" s="185" t="s">
        <v>216</v>
      </c>
    </row>
    <row r="133" spans="5:14" ht="15.75" thickBot="1">
      <c r="E133" s="189" t="s">
        <v>217</v>
      </c>
    </row>
    <row r="134" spans="5:14">
      <c r="E134" s="244"/>
      <c r="F134" s="245"/>
      <c r="G134" s="245"/>
      <c r="H134" s="245"/>
      <c r="I134" s="245"/>
      <c r="J134" s="245"/>
      <c r="K134" s="245"/>
      <c r="L134" s="245"/>
      <c r="M134" s="246"/>
    </row>
    <row r="135" spans="5:14">
      <c r="E135" s="247"/>
      <c r="F135" s="248"/>
      <c r="G135" s="248"/>
      <c r="H135" s="248"/>
      <c r="I135" s="248"/>
      <c r="J135" s="248"/>
      <c r="K135" s="248"/>
      <c r="L135" s="248"/>
      <c r="M135" s="249"/>
    </row>
    <row r="136" spans="5:14">
      <c r="E136" s="247"/>
      <c r="F136" s="248"/>
      <c r="G136" s="248"/>
      <c r="H136" s="248"/>
      <c r="I136" s="248"/>
      <c r="J136" s="248"/>
      <c r="K136" s="248"/>
      <c r="L136" s="248"/>
      <c r="M136" s="249"/>
    </row>
    <row r="137" spans="5:14">
      <c r="E137" s="247"/>
      <c r="F137" s="248"/>
      <c r="G137" s="248"/>
      <c r="H137" s="248"/>
      <c r="I137" s="248"/>
      <c r="J137" s="248"/>
      <c r="K137" s="248"/>
      <c r="L137" s="248"/>
      <c r="M137" s="249"/>
    </row>
    <row r="138" spans="5:14">
      <c r="E138" s="247"/>
      <c r="F138" s="248"/>
      <c r="G138" s="248"/>
      <c r="H138" s="248"/>
      <c r="I138" s="248"/>
      <c r="J138" s="248"/>
      <c r="K138" s="248"/>
      <c r="L138" s="248"/>
      <c r="M138" s="249"/>
    </row>
    <row r="139" spans="5:14">
      <c r="E139" s="247"/>
      <c r="F139" s="248"/>
      <c r="G139" s="248"/>
      <c r="H139" s="248"/>
      <c r="I139" s="248"/>
      <c r="J139" s="248"/>
      <c r="K139" s="248"/>
      <c r="L139" s="248"/>
      <c r="M139" s="249"/>
    </row>
    <row r="140" spans="5:14">
      <c r="E140" s="247"/>
      <c r="F140" s="248"/>
      <c r="G140" s="248"/>
      <c r="H140" s="248"/>
      <c r="I140" s="248"/>
      <c r="J140" s="248"/>
      <c r="K140" s="248"/>
      <c r="L140" s="248"/>
      <c r="M140" s="249"/>
    </row>
    <row r="141" spans="5:14">
      <c r="E141" s="247"/>
      <c r="F141" s="248"/>
      <c r="G141" s="248"/>
      <c r="H141" s="248"/>
      <c r="I141" s="248"/>
      <c r="J141" s="248"/>
      <c r="K141" s="248"/>
      <c r="L141" s="248"/>
      <c r="M141" s="249"/>
    </row>
    <row r="142" spans="5:14">
      <c r="E142" s="247"/>
      <c r="F142" s="248"/>
      <c r="G142" s="248"/>
      <c r="H142" s="248"/>
      <c r="I142" s="248"/>
      <c r="J142" s="248"/>
      <c r="K142" s="248"/>
      <c r="L142" s="248"/>
      <c r="M142" s="249"/>
    </row>
    <row r="143" spans="5:14">
      <c r="E143" s="247"/>
      <c r="F143" s="248"/>
      <c r="G143" s="248"/>
      <c r="H143" s="248"/>
      <c r="I143" s="248"/>
      <c r="J143" s="248"/>
      <c r="K143" s="248"/>
      <c r="L143" s="248"/>
      <c r="M143" s="249"/>
    </row>
    <row r="144" spans="5:14">
      <c r="E144" s="247"/>
      <c r="F144" s="248"/>
      <c r="G144" s="248"/>
      <c r="H144" s="248"/>
      <c r="I144" s="248"/>
      <c r="J144" s="248"/>
      <c r="K144" s="248"/>
      <c r="L144" s="248"/>
      <c r="M144" s="249"/>
    </row>
    <row r="145" spans="5:13" ht="15.75" thickBot="1">
      <c r="E145" s="250"/>
      <c r="F145" s="251"/>
      <c r="G145" s="251"/>
      <c r="H145" s="251"/>
      <c r="I145" s="251"/>
      <c r="J145" s="251"/>
      <c r="K145" s="251"/>
      <c r="L145" s="251"/>
      <c r="M145" s="252"/>
    </row>
  </sheetData>
  <mergeCells count="6">
    <mergeCell ref="K126:L126"/>
    <mergeCell ref="E134:M145"/>
    <mergeCell ref="H2:I2"/>
    <mergeCell ref="H3:I3"/>
    <mergeCell ref="H4:I4"/>
    <mergeCell ref="L118:N118"/>
  </mergeCells>
  <phoneticPr fontId="37" type="noConversion"/>
  <conditionalFormatting sqref="I9:I28">
    <cfRule type="notContainsText" dxfId="20" priority="17" operator="notContains" text="Choose Location First">
      <formula>ISERROR(SEARCH("Choose Location First",I9))</formula>
    </cfRule>
  </conditionalFormatting>
  <conditionalFormatting sqref="I73:I77">
    <cfRule type="notContainsBlanks" dxfId="19" priority="4">
      <formula>LEN(TRIM(I73))&gt;0</formula>
    </cfRule>
    <cfRule type="containsBlanks" dxfId="18" priority="5">
      <formula>LEN(TRIM(I73))=0</formula>
    </cfRule>
  </conditionalFormatting>
  <conditionalFormatting sqref="J9:J28">
    <cfRule type="cellIs" dxfId="17" priority="16" operator="between">
      <formula>0</formula>
      <formula>8760</formula>
    </cfRule>
    <cfRule type="containsText" dxfId="16" priority="21" operator="containsText" text="Type Hours Here">
      <formula>NOT(ISERROR(SEARCH("Type Hours Here",J9)))</formula>
    </cfRule>
  </conditionalFormatting>
  <conditionalFormatting sqref="J36">
    <cfRule type="containsText" dxfId="15" priority="18" operator="containsText" text="Type Hours Here">
      <formula>NOT(ISERROR(SEARCH("Type Hours Here",J36)))</formula>
    </cfRule>
  </conditionalFormatting>
  <conditionalFormatting sqref="N113:N115">
    <cfRule type="cellIs" dxfId="14" priority="3" operator="equal">
      <formula>0</formula>
    </cfRule>
  </conditionalFormatting>
  <conditionalFormatting sqref="N128:N129">
    <cfRule type="cellIs" dxfId="13" priority="1" operator="equal">
      <formula>0</formula>
    </cfRule>
  </conditionalFormatting>
  <conditionalFormatting sqref="O120:O122">
    <cfRule type="cellIs" dxfId="12" priority="2" operator="equal">
      <formula>0</formula>
    </cfRule>
  </conditionalFormatting>
  <conditionalFormatting sqref="P9:P28 J32:J36">
    <cfRule type="notContainsBlanks" dxfId="11" priority="19">
      <formula>LEN(TRIM(J9))&gt;0</formula>
    </cfRule>
  </conditionalFormatting>
  <conditionalFormatting sqref="P9:P28">
    <cfRule type="containsBlanks" dxfId="10" priority="20">
      <formula>LEN(TRIM(P9))=0</formula>
    </cfRule>
  </conditionalFormatting>
  <conditionalFormatting sqref="W37">
    <cfRule type="cellIs" dxfId="9" priority="15" operator="greaterThan">
      <formula>0</formula>
    </cfRule>
  </conditionalFormatting>
  <conditionalFormatting sqref="W48">
    <cfRule type="cellIs" dxfId="8" priority="13" operator="greaterThan">
      <formula>0</formula>
    </cfRule>
  </conditionalFormatting>
  <conditionalFormatting sqref="W52">
    <cfRule type="cellIs" dxfId="7" priority="12" operator="greaterThan">
      <formula>0</formula>
    </cfRule>
  </conditionalFormatting>
  <conditionalFormatting sqref="W60">
    <cfRule type="cellIs" dxfId="6" priority="14" operator="greaterThan">
      <formula>0</formula>
    </cfRule>
  </conditionalFormatting>
  <conditionalFormatting sqref="W68">
    <cfRule type="cellIs" dxfId="5" priority="11" operator="greaterThan">
      <formula>0</formula>
    </cfRule>
  </conditionalFormatting>
  <conditionalFormatting sqref="W78">
    <cfRule type="cellIs" dxfId="4" priority="10" operator="greaterThan">
      <formula>0</formula>
    </cfRule>
  </conditionalFormatting>
  <conditionalFormatting sqref="W84">
    <cfRule type="cellIs" dxfId="3" priority="9" operator="greaterThan">
      <formula>0</formula>
    </cfRule>
  </conditionalFormatting>
  <conditionalFormatting sqref="W94">
    <cfRule type="cellIs" dxfId="2" priority="8" operator="greaterThan">
      <formula>0</formula>
    </cfRule>
  </conditionalFormatting>
  <conditionalFormatting sqref="W101">
    <cfRule type="cellIs" dxfId="1" priority="7" operator="greaterThan">
      <formula>0</formula>
    </cfRule>
  </conditionalFormatting>
  <conditionalFormatting sqref="X9:X28 O32:O36 AG42:AG47 Q51 V57:V59 T65:T67 P73:P77 O82:O83 P88:P93 O99:O100">
    <cfRule type="cellIs" dxfId="0" priority="6" operator="equal">
      <formula>0</formula>
    </cfRule>
  </conditionalFormatting>
  <dataValidations count="2">
    <dataValidation type="list" allowBlank="1" showInputMessage="1" showErrorMessage="1" sqref="U9:U28" xr:uid="{9D783027-8BA0-43E4-8EC9-7DE3C204F018}">
      <formula1>"Energy Star, DLC, Not Listed, Select"</formula1>
    </dataValidation>
    <dataValidation type="list" allowBlank="1" showInputMessage="1" showErrorMessage="1" sqref="T101 T37 T60 T48 T52 T68 T78 T84 T94 T29" xr:uid="{BDA82FD3-ECC4-469E-A2FE-1F27D5D8EF22}">
      <formula1>"Energy Star, DLC, Not Listed"</formula1>
    </dataValidation>
  </dataValidations>
  <pageMargins left="0.7" right="0.7" top="0.75" bottom="0.75" header="0.3" footer="0.3"/>
  <pageSetup orientation="portrait" horizontalDpi="4294967293" r:id="rId1"/>
  <extLst>
    <ext xmlns:x14="http://schemas.microsoft.com/office/spreadsheetml/2009/9/main" uri="{CCE6A557-97BC-4b89-ADB6-D9C93CAAB3DF}">
      <x14:dataValidations xmlns:xm="http://schemas.microsoft.com/office/excel/2006/main" count="22">
        <x14:dataValidation type="list" allowBlank="1" showInputMessage="1" showErrorMessage="1" xr:uid="{A9E51D99-0697-4879-B296-7F582950DA05}">
          <x14:formula1>
            <xm:f>'Heat Pumps'!$E$2:$E$4</xm:f>
          </x14:formula1>
          <xm:sqref>G42:G47</xm:sqref>
        </x14:dataValidation>
        <x14:dataValidation type="list" allowBlank="1" showInputMessage="1" showErrorMessage="1" xr:uid="{1F94226E-646A-4580-881C-5B4DB605C53B}">
          <x14:formula1>
            <xm:f>'Lists &amp; Other References'!$A$2:$A$17</xm:f>
          </x14:formula1>
          <xm:sqref>E9:E28</xm:sqref>
        </x14:dataValidation>
        <x14:dataValidation type="list" allowBlank="1" showInputMessage="1" showErrorMessage="1" xr:uid="{3B890A9C-22B3-4412-AFCB-AC9F173CEE65}">
          <x14:formula1>
            <xm:f>'Lists &amp; Other References'!$A$2:$A$15</xm:f>
          </x14:formula1>
          <xm:sqref>E101 E29 E84 E78 E68 E52 E48 E60 E37</xm:sqref>
        </x14:dataValidation>
        <x14:dataValidation type="list" allowBlank="1" showInputMessage="1" showErrorMessage="1" xr:uid="{BD13E009-B87E-4830-886B-C3F60D7F7E42}">
          <x14:formula1>
            <xm:f>'Lists &amp; Other References'!$A$79:$A$81</xm:f>
          </x14:formula1>
          <xm:sqref>E99:E100</xm:sqref>
        </x14:dataValidation>
        <x14:dataValidation type="list" allowBlank="1" showInputMessage="1" showErrorMessage="1" xr:uid="{6C9982B1-19BE-4C1F-9D77-2B0569DC2EE6}">
          <x14:formula1>
            <xm:f>'Lists &amp; Other References'!$A$70:$A$72</xm:f>
          </x14:formula1>
          <xm:sqref>G51</xm:sqref>
        </x14:dataValidation>
        <x14:dataValidation type="list" allowBlank="1" showInputMessage="1" showErrorMessage="1" xr:uid="{B85FC1DA-F3D5-4C19-93E0-CF5BA4FD3549}">
          <x14:formula1>
            <xm:f>'Lists &amp; Other References'!$C$60:$C$62</xm:f>
          </x14:formula1>
          <xm:sqref>J88:J93</xm:sqref>
        </x14:dataValidation>
        <x14:dataValidation type="list" allowBlank="1" showInputMessage="1" showErrorMessage="1" xr:uid="{9D101451-6E92-45B2-BAF9-1C0DB3BCA92B}">
          <x14:formula1>
            <xm:f>Lighting!$A$18:$A$23</xm:f>
          </x14:formula1>
          <xm:sqref>M101 M37 M60 M48 M52 M68 M78 M84 M94 M9:M29</xm:sqref>
        </x14:dataValidation>
        <x14:dataValidation type="list" allowBlank="1" showInputMessage="1" showErrorMessage="1" xr:uid="{7E2DEE6A-9341-4018-8D5B-A2F4F18303AB}">
          <x14:formula1>
            <xm:f>'Water Heater'!$A$7:$A$10</xm:f>
          </x14:formula1>
          <xm:sqref>L65:L67</xm:sqref>
        </x14:dataValidation>
        <x14:dataValidation type="list" allowBlank="1" showInputMessage="1" showErrorMessage="1" xr:uid="{E3EC6EE9-982F-4EBD-A2B9-A0BBEDC68ED2}">
          <x14:formula1>
            <xm:f>'Heat Pumps'!$B$2:$B$4</xm:f>
          </x14:formula1>
          <xm:sqref>AA42:AA47 M42:M47</xm:sqref>
        </x14:dataValidation>
        <x14:dataValidation type="list" allowBlank="1" showInputMessage="1" showErrorMessage="1" xr:uid="{E7510D46-054C-4DF5-9CB9-70CC5993D79D}">
          <x14:formula1>
            <xm:f>'Heat Pumps'!$A$2:$A$4</xm:f>
          </x14:formula1>
          <xm:sqref>K42:K47 Y42:Y47</xm:sqref>
        </x14:dataValidation>
        <x14:dataValidation type="list" allowBlank="1" showInputMessage="1" showErrorMessage="1" promptTitle="Choose Location" prompt="Choose one of the following locations._x000a_If Other, type existing operating hours." xr:uid="{D9A91AA9-C15B-403D-BF10-EE36130BE544}">
          <x14:formula1>
            <xm:f>Lighting!$C$12:$C$14</xm:f>
          </x14:formula1>
          <xm:sqref>G32:G36</xm:sqref>
        </x14:dataValidation>
        <x14:dataValidation type="list" allowBlank="1" showInputMessage="1" showErrorMessage="1" xr:uid="{A431711B-99BF-4BAB-8D81-DCE334C13019}">
          <x14:formula1>
            <xm:f>'Lists &amp; Other References'!$C$1:$C$4</xm:f>
          </x14:formula1>
          <xm:sqref>H51</xm:sqref>
        </x14:dataValidation>
        <x14:dataValidation type="list" allowBlank="1" showInputMessage="1" showErrorMessage="1" xr:uid="{F9F942E1-B957-4BE2-8621-B472B909BD0F}">
          <x14:formula1>
            <xm:f>'Lists &amp; Other References'!$A$57:$A$62</xm:f>
          </x14:formula1>
          <xm:sqref>E88:E93</xm:sqref>
        </x14:dataValidation>
        <x14:dataValidation type="list" allowBlank="1" showInputMessage="1" showErrorMessage="1" xr:uid="{87C5FAD7-D10C-4853-9EDD-40DB3AFBF19F}">
          <x14:formula1>
            <xm:f>'Lists &amp; Other References'!$D$1:$D$3</xm:f>
          </x14:formula1>
          <xm:sqref>N51 I51</xm:sqref>
        </x14:dataValidation>
        <x14:dataValidation type="list" allowBlank="1" showInputMessage="1" showErrorMessage="1" xr:uid="{837F029E-014F-430F-B8E9-764A4D033405}">
          <x14:formula1>
            <xm:f>'Lists &amp; Other References'!$C$1:$C$3</xm:f>
          </x14:formula1>
          <xm:sqref>G65:G67 F73:F77 G82:G83 H113:H115</xm:sqref>
        </x14:dataValidation>
        <x14:dataValidation type="list" allowBlank="1" showInputMessage="1" showErrorMessage="1" xr:uid="{54B02A24-A4BA-43F7-935D-A4DFFB6B5711}">
          <x14:formula1>
            <xm:f>'Lists &amp; Other References'!$A$43:$A$49</xm:f>
          </x14:formula1>
          <xm:sqref>E42:E47</xm:sqref>
        </x14:dataValidation>
        <x14:dataValidation type="list" allowBlank="1" showInputMessage="1" showErrorMessage="1" xr:uid="{D61871F7-0EFE-429C-942B-8576681F77E6}">
          <x14:formula1>
            <xm:f>'Lists &amp; Other References'!$A$20:$A$32</xm:f>
          </x14:formula1>
          <xm:sqref>E32:E36</xm:sqref>
        </x14:dataValidation>
        <x14:dataValidation type="list" allowBlank="1" showInputMessage="1" showErrorMessage="1" xr:uid="{5C7652FC-C7C7-4141-8ED2-B5E99A037A55}">
          <x14:formula1>
            <xm:f>'Lists &amp; Other References'!$A$52:$A$55</xm:f>
          </x14:formula1>
          <xm:sqref>E73:E77</xm:sqref>
        </x14:dataValidation>
        <x14:dataValidation type="list" allowBlank="1" showInputMessage="1" showErrorMessage="1" xr:uid="{F61CD076-3400-4EE6-BEDD-A3C4F756FFBE}">
          <x14:formula1>
            <xm:f>'Lists &amp; Other References'!$A$36:$A$41</xm:f>
          </x14:formula1>
          <xm:sqref>E57:E59</xm:sqref>
        </x14:dataValidation>
        <x14:dataValidation type="list" allowBlank="1" showInputMessage="1" showErrorMessage="1" promptTitle="Choose Location" prompt="Choose one of the following locations._x000a_If Other, type existing operating hours." xr:uid="{76E85F07-02E6-4185-B654-0DC5CECA3D41}">
          <x14:formula1>
            <xm:f>Lighting!$A$2:$A$9</xm:f>
          </x14:formula1>
          <xm:sqref>H101 H37 H60 H48 H52 H68 H78 H84 H94 H9:H29</xm:sqref>
        </x14:dataValidation>
        <x14:dataValidation type="list" allowBlank="1" showInputMessage="1" showErrorMessage="1" xr:uid="{A7494978-0C57-41F6-84F5-CF6DEB81B729}">
          <x14:formula1>
            <xm:f>'Heat Pumps'!$D$2:$D$5</xm:f>
          </x14:formula1>
          <xm:sqref>AD42:AD47 P42:P47</xm:sqref>
        </x14:dataValidation>
        <x14:dataValidation type="list" allowBlank="1" showInputMessage="1" showErrorMessage="1" xr:uid="{FCAD403E-8E0E-4F9F-AAF8-3E232AB9B5FA}">
          <x14:formula1>
            <xm:f>'Lists &amp; Other References'!$A$85:$A$89</xm:f>
          </x14:formula1>
          <xm:sqref>E113:E115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L89"/>
  <sheetViews>
    <sheetView tabSelected="1" topLeftCell="A25" workbookViewId="0">
      <selection activeCell="B49" sqref="B49"/>
    </sheetView>
    <sheetView topLeftCell="A63" workbookViewId="1">
      <selection activeCell="A86" sqref="A86"/>
    </sheetView>
  </sheetViews>
  <sheetFormatPr defaultColWidth="9.140625" defaultRowHeight="15"/>
  <cols>
    <col min="1" max="1" width="50.85546875" style="2" customWidth="1"/>
    <col min="2" max="2" width="19.42578125" style="2" customWidth="1"/>
    <col min="3" max="3" width="19.140625" style="2" customWidth="1"/>
    <col min="4" max="4" width="11.140625" style="2" customWidth="1"/>
    <col min="5" max="5" width="11.140625" style="2" bestFit="1" customWidth="1"/>
    <col min="6" max="6" width="19.140625" style="2" bestFit="1" customWidth="1"/>
    <col min="7" max="11" width="9.140625" style="2"/>
    <col min="12" max="12" width="81.140625" style="2" customWidth="1"/>
    <col min="13" max="16384" width="9.140625" style="2"/>
  </cols>
  <sheetData>
    <row r="1" spans="1:12">
      <c r="A1" s="339" t="s">
        <v>307</v>
      </c>
      <c r="C1" s="340" t="s">
        <v>145</v>
      </c>
      <c r="D1" s="341" t="s">
        <v>145</v>
      </c>
      <c r="F1" s="81" t="s">
        <v>308</v>
      </c>
    </row>
    <row r="2" spans="1:12" ht="30">
      <c r="A2" s="342"/>
      <c r="C2" s="21" t="s">
        <v>266</v>
      </c>
      <c r="D2" s="341" t="s">
        <v>267</v>
      </c>
      <c r="F2">
        <v>1256.49</v>
      </c>
      <c r="G2" t="s">
        <v>309</v>
      </c>
      <c r="H2">
        <f>F2*0.000453592</f>
        <v>0.56993381208000005</v>
      </c>
      <c r="I2" s="18" t="s">
        <v>310</v>
      </c>
      <c r="J2" s="18">
        <f>F2*0.000453592</f>
        <v>0.56993381208000005</v>
      </c>
      <c r="K2" s="18" t="s">
        <v>311</v>
      </c>
      <c r="L2" s="18" t="s">
        <v>312</v>
      </c>
    </row>
    <row r="3" spans="1:12" ht="30">
      <c r="A3" s="39" t="s">
        <v>235</v>
      </c>
      <c r="C3" s="21" t="s">
        <v>274</v>
      </c>
      <c r="D3" s="341" t="s">
        <v>313</v>
      </c>
      <c r="F3">
        <v>142.5</v>
      </c>
      <c r="G3" t="s">
        <v>314</v>
      </c>
      <c r="H3">
        <f>F3*0.000453592</f>
        <v>6.4636860000000004E-2</v>
      </c>
      <c r="I3" s="18" t="s">
        <v>315</v>
      </c>
      <c r="J3" s="18">
        <f>F3*0.000453592</f>
        <v>6.4636860000000004E-2</v>
      </c>
      <c r="K3" s="18" t="s">
        <v>311</v>
      </c>
      <c r="L3" s="18" t="s">
        <v>316</v>
      </c>
    </row>
    <row r="4" spans="1:12">
      <c r="A4" s="342" t="s">
        <v>317</v>
      </c>
      <c r="C4" s="21" t="s">
        <v>318</v>
      </c>
      <c r="F4" s="256" t="s">
        <v>319</v>
      </c>
      <c r="G4" s="256"/>
      <c r="H4" s="256"/>
      <c r="I4"/>
      <c r="J4"/>
      <c r="K4"/>
      <c r="L4"/>
    </row>
    <row r="5" spans="1:12">
      <c r="A5" s="39" t="s">
        <v>320</v>
      </c>
      <c r="F5" s="19" t="s">
        <v>321</v>
      </c>
      <c r="G5" s="19">
        <v>16.399999999999999</v>
      </c>
      <c r="H5" s="19">
        <f>G5*H2</f>
        <v>9.3469145181119995</v>
      </c>
      <c r="I5"/>
      <c r="J5"/>
      <c r="K5"/>
      <c r="L5"/>
    </row>
    <row r="6" spans="1:12">
      <c r="A6" s="39" t="s">
        <v>219</v>
      </c>
      <c r="F6" s="19" t="s">
        <v>322</v>
      </c>
      <c r="G6" s="19">
        <v>16.399999999999999</v>
      </c>
      <c r="H6" s="19">
        <f>G6*H3</f>
        <v>1.0600445039999999</v>
      </c>
      <c r="I6"/>
      <c r="J6"/>
      <c r="K6"/>
      <c r="L6"/>
    </row>
    <row r="7" spans="1:12">
      <c r="A7" s="39" t="s">
        <v>323</v>
      </c>
      <c r="F7" s="20"/>
      <c r="G7" s="19" t="s">
        <v>324</v>
      </c>
      <c r="H7" s="19">
        <f>SUM(H5:H6)</f>
        <v>10.406959022112</v>
      </c>
      <c r="I7"/>
      <c r="J7"/>
      <c r="K7"/>
      <c r="L7"/>
    </row>
    <row r="8" spans="1:12">
      <c r="A8" s="39" t="s">
        <v>325</v>
      </c>
    </row>
    <row r="9" spans="1:12">
      <c r="A9" s="39" t="s">
        <v>228</v>
      </c>
    </row>
    <row r="10" spans="1:12">
      <c r="A10" s="39" t="s">
        <v>326</v>
      </c>
    </row>
    <row r="11" spans="1:12">
      <c r="A11" s="39" t="s">
        <v>327</v>
      </c>
    </row>
    <row r="12" spans="1:12">
      <c r="A12" s="39" t="s">
        <v>328</v>
      </c>
    </row>
    <row r="13" spans="1:12">
      <c r="A13" s="39" t="s">
        <v>329</v>
      </c>
    </row>
    <row r="14" spans="1:12">
      <c r="A14" s="39" t="s">
        <v>330</v>
      </c>
    </row>
    <row r="15" spans="1:12">
      <c r="A15" s="342" t="s">
        <v>331</v>
      </c>
    </row>
    <row r="16" spans="1:12" ht="15.75" thickBot="1">
      <c r="A16" s="40" t="s">
        <v>242</v>
      </c>
    </row>
    <row r="18" spans="1:2" ht="15.75" thickBot="1"/>
    <row r="19" spans="1:2">
      <c r="A19" s="343" t="s">
        <v>332</v>
      </c>
      <c r="B19" s="344" t="s">
        <v>333</v>
      </c>
    </row>
    <row r="20" spans="1:2">
      <c r="A20" s="321" t="s">
        <v>93</v>
      </c>
      <c r="B20" s="345" t="s">
        <v>334</v>
      </c>
    </row>
    <row r="21" spans="1:2">
      <c r="A21" s="321" t="s">
        <v>335</v>
      </c>
      <c r="B21" s="346">
        <v>0.41</v>
      </c>
    </row>
    <row r="22" spans="1:2">
      <c r="A22" s="321" t="s">
        <v>336</v>
      </c>
      <c r="B22" s="346">
        <v>0.24</v>
      </c>
    </row>
    <row r="23" spans="1:2">
      <c r="A23" s="321" t="s">
        <v>337</v>
      </c>
      <c r="B23" s="346">
        <v>0.24</v>
      </c>
    </row>
    <row r="24" spans="1:2">
      <c r="A24" s="321" t="s">
        <v>248</v>
      </c>
      <c r="B24" s="346">
        <v>0.24</v>
      </c>
    </row>
    <row r="25" spans="1:2">
      <c r="A25" s="321" t="s">
        <v>250</v>
      </c>
      <c r="B25" s="346">
        <v>0.28000000000000003</v>
      </c>
    </row>
    <row r="26" spans="1:2">
      <c r="A26" s="321" t="s">
        <v>338</v>
      </c>
      <c r="B26" s="346">
        <v>0.28000000000000003</v>
      </c>
    </row>
    <row r="27" spans="1:2">
      <c r="A27" s="321" t="s">
        <v>339</v>
      </c>
      <c r="B27" s="346">
        <v>0.24</v>
      </c>
    </row>
    <row r="28" spans="1:2">
      <c r="A28" s="321" t="s">
        <v>340</v>
      </c>
      <c r="B28" s="346">
        <v>0.24</v>
      </c>
    </row>
    <row r="29" spans="1:2">
      <c r="A29" s="321" t="s">
        <v>341</v>
      </c>
      <c r="B29" s="346">
        <v>0.38</v>
      </c>
    </row>
    <row r="30" spans="1:2">
      <c r="A30" s="321" t="s">
        <v>342</v>
      </c>
      <c r="B30" s="346">
        <v>0.38</v>
      </c>
    </row>
    <row r="31" spans="1:2">
      <c r="A31" s="321" t="s">
        <v>343</v>
      </c>
      <c r="B31" s="346">
        <v>0.4</v>
      </c>
    </row>
    <row r="32" spans="1:2" ht="15.75" thickBot="1">
      <c r="A32" s="323" t="s">
        <v>344</v>
      </c>
      <c r="B32" s="347">
        <v>0.4</v>
      </c>
    </row>
    <row r="34" spans="1:2" ht="15.75" thickBot="1">
      <c r="A34" s="318"/>
    </row>
    <row r="35" spans="1:2">
      <c r="A35" s="339" t="s">
        <v>122</v>
      </c>
    </row>
    <row r="36" spans="1:2">
      <c r="A36" s="342" t="s">
        <v>345</v>
      </c>
    </row>
    <row r="37" spans="1:2">
      <c r="A37" s="39" t="s">
        <v>346</v>
      </c>
    </row>
    <row r="38" spans="1:2">
      <c r="A38" s="39" t="s">
        <v>347</v>
      </c>
    </row>
    <row r="39" spans="1:2">
      <c r="A39" s="39" t="s">
        <v>348</v>
      </c>
    </row>
    <row r="40" spans="1:2">
      <c r="A40" s="39" t="s">
        <v>131</v>
      </c>
    </row>
    <row r="41" spans="1:2" ht="15.75" thickBot="1">
      <c r="A41" s="40" t="s">
        <v>271</v>
      </c>
    </row>
    <row r="42" spans="1:2">
      <c r="A42" s="339" t="s">
        <v>223</v>
      </c>
      <c r="B42" s="318"/>
    </row>
    <row r="43" spans="1:2">
      <c r="A43" s="342" t="s">
        <v>114</v>
      </c>
    </row>
    <row r="44" spans="1:2">
      <c r="A44" s="348" t="s">
        <v>252</v>
      </c>
      <c r="B44" s="318"/>
    </row>
    <row r="45" spans="1:2">
      <c r="A45" s="342" t="s">
        <v>349</v>
      </c>
      <c r="B45" s="318"/>
    </row>
    <row r="46" spans="1:2">
      <c r="A46" s="342" t="s">
        <v>264</v>
      </c>
    </row>
    <row r="47" spans="1:2">
      <c r="A47" s="342" t="s">
        <v>350</v>
      </c>
      <c r="B47" s="318"/>
    </row>
    <row r="48" spans="1:2">
      <c r="A48" s="342" t="s">
        <v>351</v>
      </c>
    </row>
    <row r="49" spans="1:4" ht="15.75" thickBot="1">
      <c r="A49" s="242" t="s">
        <v>352</v>
      </c>
    </row>
    <row r="50" spans="1:4" ht="15.75" thickBot="1">
      <c r="A50" s="39"/>
    </row>
    <row r="51" spans="1:4">
      <c r="A51" s="339" t="s">
        <v>353</v>
      </c>
    </row>
    <row r="52" spans="1:4">
      <c r="A52" s="342" t="s">
        <v>152</v>
      </c>
      <c r="B52" s="318" t="s">
        <v>354</v>
      </c>
    </row>
    <row r="53" spans="1:4">
      <c r="A53" s="39" t="s">
        <v>280</v>
      </c>
      <c r="B53" s="2">
        <v>2</v>
      </c>
    </row>
    <row r="54" spans="1:4">
      <c r="A54" s="342" t="s">
        <v>277</v>
      </c>
      <c r="B54" s="2">
        <v>2.2000000000000002</v>
      </c>
    </row>
    <row r="55" spans="1:4" ht="15.75" thickBot="1">
      <c r="A55" s="342" t="s">
        <v>355</v>
      </c>
      <c r="B55" s="2">
        <v>2.2000000000000002</v>
      </c>
    </row>
    <row r="56" spans="1:4">
      <c r="A56" s="339" t="s">
        <v>356</v>
      </c>
    </row>
    <row r="57" spans="1:4">
      <c r="A57" s="342" t="s">
        <v>171</v>
      </c>
      <c r="B57" s="59" t="s">
        <v>357</v>
      </c>
    </row>
    <row r="58" spans="1:4">
      <c r="A58" s="39" t="s">
        <v>287</v>
      </c>
      <c r="B58" s="349">
        <v>2033</v>
      </c>
    </row>
    <row r="59" spans="1:4">
      <c r="A59" s="39" t="s">
        <v>358</v>
      </c>
      <c r="B59" s="3">
        <v>1788</v>
      </c>
      <c r="C59" s="340" t="s">
        <v>359</v>
      </c>
    </row>
    <row r="60" spans="1:4">
      <c r="A60" s="39" t="s">
        <v>284</v>
      </c>
      <c r="B60" s="3">
        <v>1633</v>
      </c>
      <c r="C60" s="340" t="s">
        <v>145</v>
      </c>
    </row>
    <row r="61" spans="1:4">
      <c r="A61" s="39" t="s">
        <v>360</v>
      </c>
      <c r="B61" s="3">
        <v>1548</v>
      </c>
      <c r="C61" s="340" t="s">
        <v>285</v>
      </c>
    </row>
    <row r="62" spans="1:4" ht="15.75" thickBot="1">
      <c r="A62" s="40" t="s">
        <v>361</v>
      </c>
      <c r="B62" s="3">
        <v>2562</v>
      </c>
      <c r="C62" s="340" t="s">
        <v>362</v>
      </c>
    </row>
    <row r="63" spans="1:4" ht="15.75" thickBot="1">
      <c r="B63" s="3"/>
    </row>
    <row r="64" spans="1:4">
      <c r="A64" s="339" t="s">
        <v>363</v>
      </c>
      <c r="B64" s="350"/>
      <c r="D64" s="350"/>
    </row>
    <row r="65" spans="1:7">
      <c r="A65" s="342" t="s">
        <v>364</v>
      </c>
      <c r="B65" s="1"/>
      <c r="C65" s="318"/>
      <c r="D65" s="1"/>
      <c r="E65" s="318"/>
      <c r="F65" s="318"/>
      <c r="G65" s="59"/>
    </row>
    <row r="66" spans="1:7" ht="15.75" thickBot="1">
      <c r="A66" s="242" t="s">
        <v>365</v>
      </c>
      <c r="B66" s="1"/>
      <c r="C66" s="318"/>
      <c r="D66" s="1"/>
      <c r="E66" s="318"/>
    </row>
    <row r="68" spans="1:7" ht="15.75" thickBot="1">
      <c r="B68" s="59" t="s">
        <v>366</v>
      </c>
    </row>
    <row r="69" spans="1:7">
      <c r="A69" s="339" t="s">
        <v>367</v>
      </c>
      <c r="D69" s="79" t="s">
        <v>368</v>
      </c>
      <c r="E69" s="79" t="s">
        <v>369</v>
      </c>
    </row>
    <row r="70" spans="1:7">
      <c r="A70" s="342" t="s">
        <v>370</v>
      </c>
      <c r="B70" s="318" t="s">
        <v>371</v>
      </c>
      <c r="C70" s="79" t="s">
        <v>372</v>
      </c>
      <c r="D70" s="79">
        <v>119.9</v>
      </c>
      <c r="E70" s="79">
        <v>2.6</v>
      </c>
    </row>
    <row r="71" spans="1:7" ht="25.5">
      <c r="A71" s="342" t="s">
        <v>265</v>
      </c>
      <c r="B71" s="318" t="s">
        <v>373</v>
      </c>
      <c r="C71" s="79" t="s">
        <v>374</v>
      </c>
      <c r="D71" s="79">
        <v>400.5</v>
      </c>
      <c r="E71" s="79">
        <v>0</v>
      </c>
    </row>
    <row r="72" spans="1:7" ht="26.25" thickBot="1">
      <c r="A72" s="242" t="s">
        <v>375</v>
      </c>
      <c r="B72" s="318" t="s">
        <v>376</v>
      </c>
      <c r="C72" s="79" t="s">
        <v>377</v>
      </c>
      <c r="D72" s="79">
        <v>24.1</v>
      </c>
      <c r="E72" s="79">
        <v>2.6</v>
      </c>
    </row>
    <row r="73" spans="1:7" ht="25.5">
      <c r="B73" s="318" t="s">
        <v>378</v>
      </c>
      <c r="C73" s="79" t="s">
        <v>379</v>
      </c>
      <c r="D73" s="79">
        <v>304.7</v>
      </c>
      <c r="E73" s="79">
        <v>0</v>
      </c>
    </row>
    <row r="74" spans="1:7">
      <c r="B74" s="318" t="s">
        <v>380</v>
      </c>
      <c r="C74" s="79" t="s">
        <v>381</v>
      </c>
      <c r="D74" s="79">
        <v>95.8</v>
      </c>
      <c r="E74" s="79">
        <v>0</v>
      </c>
    </row>
    <row r="75" spans="1:7" ht="15.75" thickBot="1"/>
    <row r="76" spans="1:7">
      <c r="A76" s="107" t="s">
        <v>382</v>
      </c>
    </row>
    <row r="77" spans="1:7">
      <c r="A77" s="108" t="s">
        <v>383</v>
      </c>
    </row>
    <row r="78" spans="1:7">
      <c r="A78" s="351" t="s">
        <v>384</v>
      </c>
    </row>
    <row r="79" spans="1:7">
      <c r="A79" s="342" t="s">
        <v>176</v>
      </c>
    </row>
    <row r="80" spans="1:7">
      <c r="A80" s="39" t="s">
        <v>234</v>
      </c>
    </row>
    <row r="81" spans="1:1" ht="15.75" thickBot="1">
      <c r="A81" s="40" t="s">
        <v>385</v>
      </c>
    </row>
    <row r="84" spans="1:1">
      <c r="A84" s="318" t="s">
        <v>189</v>
      </c>
    </row>
    <row r="85" spans="1:1">
      <c r="A85" s="318" t="s">
        <v>176</v>
      </c>
    </row>
    <row r="86" spans="1:1">
      <c r="A86" s="318" t="s">
        <v>192</v>
      </c>
    </row>
    <row r="87" spans="1:1">
      <c r="A87" s="318" t="s">
        <v>290</v>
      </c>
    </row>
    <row r="88" spans="1:1">
      <c r="A88" s="318" t="s">
        <v>292</v>
      </c>
    </row>
    <row r="89" spans="1:1">
      <c r="A89" s="318" t="s">
        <v>386</v>
      </c>
    </row>
  </sheetData>
  <sortState xmlns:xlrd2="http://schemas.microsoft.com/office/spreadsheetml/2017/richdata2" ref="A3:A17">
    <sortCondition ref="A3:A17"/>
  </sortState>
  <mergeCells count="1">
    <mergeCell ref="F4:H4"/>
  </mergeCells>
  <hyperlinks>
    <hyperlink ref="B57" r:id="rId1" display="kWh/hp" xr:uid="{578ED050-57C8-41B9-8CB3-684864B1A16D}"/>
    <hyperlink ref="B68" r:id="rId2" xr:uid="{ACE22B9A-9635-4D15-8282-DC0B589AEE51}"/>
  </hyperlinks>
  <pageMargins left="0.7" right="0.7" top="0.75" bottom="0.75" header="0.3" footer="0.3"/>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5A294-3915-4268-BA3A-517F66AC13C8}">
  <dimension ref="A1:W14"/>
  <sheetViews>
    <sheetView topLeftCell="F1" zoomScale="160" zoomScaleNormal="160" workbookViewId="0">
      <selection activeCell="A2" sqref="A2"/>
    </sheetView>
    <sheetView workbookViewId="1">
      <selection activeCell="K14" sqref="K14"/>
    </sheetView>
  </sheetViews>
  <sheetFormatPr defaultRowHeight="12.75"/>
  <cols>
    <col min="1" max="1" width="14.85546875" customWidth="1"/>
    <col min="3" max="3" width="12.85546875" customWidth="1"/>
    <col min="5" max="5" width="10.85546875" customWidth="1"/>
  </cols>
  <sheetData>
    <row r="1" spans="1:23" ht="15">
      <c r="A1" s="59" t="s">
        <v>387</v>
      </c>
      <c r="B1" s="89"/>
      <c r="C1" s="89"/>
    </row>
    <row r="2" spans="1:23" s="42" customFormat="1" ht="39">
      <c r="A2" s="93"/>
      <c r="B2" s="93"/>
      <c r="C2" s="93" t="s">
        <v>388</v>
      </c>
      <c r="D2" s="45" t="s">
        <v>80</v>
      </c>
      <c r="E2" s="93" t="s">
        <v>389</v>
      </c>
      <c r="F2" s="93" t="s">
        <v>390</v>
      </c>
      <c r="G2" s="93" t="s">
        <v>391</v>
      </c>
      <c r="H2" s="93" t="s">
        <v>392</v>
      </c>
      <c r="I2" s="93" t="s">
        <v>393</v>
      </c>
      <c r="J2" s="93" t="s">
        <v>394</v>
      </c>
      <c r="K2" s="93" t="s">
        <v>395</v>
      </c>
      <c r="L2" s="93" t="s">
        <v>396</v>
      </c>
      <c r="M2" s="93" t="s">
        <v>397</v>
      </c>
      <c r="N2" s="93" t="s">
        <v>398</v>
      </c>
      <c r="O2" s="93" t="s">
        <v>399</v>
      </c>
      <c r="P2" s="93" t="s">
        <v>400</v>
      </c>
      <c r="Q2" s="93" t="s">
        <v>401</v>
      </c>
      <c r="R2" s="93" t="s">
        <v>402</v>
      </c>
      <c r="S2" s="93" t="s">
        <v>403</v>
      </c>
      <c r="T2" s="93" t="s">
        <v>404</v>
      </c>
      <c r="U2" s="93" t="s">
        <v>405</v>
      </c>
      <c r="V2" s="45" t="s">
        <v>406</v>
      </c>
      <c r="W2" s="45" t="s">
        <v>407</v>
      </c>
    </row>
    <row r="3" spans="1:23" ht="15">
      <c r="A3" s="88" t="s">
        <v>408</v>
      </c>
      <c r="B3" s="89" t="s">
        <v>409</v>
      </c>
      <c r="C3" s="89" t="str">
        <f>'IQEF Intake Form'!G65</f>
        <v>Choose One</v>
      </c>
      <c r="D3" t="str">
        <f>'IQEF Intake Form'!L65</f>
        <v>Select</v>
      </c>
      <c r="E3" s="90" t="e">
        <f>VLOOKUP(D3,A$8:B$10,2,FALSE)</f>
        <v>#N/A</v>
      </c>
      <c r="F3" s="89">
        <v>0.1167</v>
      </c>
      <c r="G3" s="89" t="e">
        <f>VLOOKUP(D3,A$8:C$10,3,FALSE)</f>
        <v>#N/A</v>
      </c>
      <c r="H3" t="e">
        <f>VLOOKUP(D3,A$8:D$10,4,FALSE)</f>
        <v>#N/A</v>
      </c>
      <c r="I3" s="89">
        <f>'IQEF Intake Form'!P65</f>
        <v>0</v>
      </c>
      <c r="J3">
        <f>'IQEF Intake Form'!Q65</f>
        <v>0</v>
      </c>
      <c r="K3" s="91">
        <f>IF(J3&gt;55,2414,3519)</f>
        <v>3519</v>
      </c>
      <c r="L3" s="91">
        <v>2815</v>
      </c>
      <c r="M3" s="91">
        <v>4520</v>
      </c>
      <c r="N3" s="92">
        <v>1.63</v>
      </c>
      <c r="O3" s="89">
        <v>2.9</v>
      </c>
      <c r="P3" s="91">
        <v>3189</v>
      </c>
      <c r="Q3" s="90">
        <v>0.93</v>
      </c>
      <c r="R3">
        <f>'IQEF Intake Form'!H65</f>
        <v>0</v>
      </c>
      <c r="S3" s="89" t="e">
        <f>VLOOKUP(C3,A$13:B$14,2,FALSE)</f>
        <v>#N/A</v>
      </c>
      <c r="T3" s="97" t="e">
        <f>K3*(((1-S3)*R3/I3)+S3-(R3/I3))*F3</f>
        <v>#N/A</v>
      </c>
      <c r="U3" s="97" t="e">
        <f>-K3*(((1-S3)*R3/I3)+S3-(R3/I3))*G3</f>
        <v>#N/A</v>
      </c>
      <c r="V3" s="97">
        <f>IFERROR(S3*(K3*(1-R3/I3)+U3)+T3,0)</f>
        <v>0</v>
      </c>
      <c r="W3" s="97">
        <f>IFERROR(((1-S3)*K3*(R3/I3)/293.1),0)</f>
        <v>0</v>
      </c>
    </row>
    <row r="4" spans="1:23" ht="15">
      <c r="B4" s="89" t="s">
        <v>410</v>
      </c>
      <c r="C4" s="89" t="str">
        <f>'IQEF Intake Form'!G66</f>
        <v>Choose One</v>
      </c>
      <c r="D4" t="str">
        <f>'IQEF Intake Form'!L66</f>
        <v>Select</v>
      </c>
      <c r="E4" s="90" t="e">
        <f t="shared" ref="E4:E5" si="0">VLOOKUP(D4,A$8:B$10,2,FALSE)</f>
        <v>#N/A</v>
      </c>
      <c r="F4" s="89">
        <v>0.1167</v>
      </c>
      <c r="G4" s="89" t="e">
        <f t="shared" ref="G4:G5" si="1">VLOOKUP(D4,A$8:C$10,3,FALSE)</f>
        <v>#N/A</v>
      </c>
      <c r="H4" t="e">
        <f t="shared" ref="H4:H5" si="2">VLOOKUP(D4,A$8:D$10,4,FALSE)</f>
        <v>#N/A</v>
      </c>
      <c r="I4" s="89">
        <f>'IQEF Intake Form'!P66</f>
        <v>0</v>
      </c>
      <c r="J4">
        <f>'IQEF Intake Form'!Q66</f>
        <v>0</v>
      </c>
      <c r="K4" s="91">
        <f t="shared" ref="K4:K5" si="3">IF(J4&gt;55,2414,3519)</f>
        <v>3519</v>
      </c>
      <c r="L4" s="91">
        <v>2815</v>
      </c>
      <c r="M4" s="91">
        <v>4520</v>
      </c>
      <c r="N4" s="92">
        <v>1.63</v>
      </c>
      <c r="O4" s="89">
        <v>2.9</v>
      </c>
      <c r="P4" s="91">
        <v>3189</v>
      </c>
      <c r="Q4" s="90">
        <v>0.93</v>
      </c>
      <c r="R4">
        <f>'IQEF Intake Form'!H66</f>
        <v>0</v>
      </c>
      <c r="S4" s="89" t="e">
        <f t="shared" ref="S4:S5" si="4">VLOOKUP(C4,A$13:B$14,2,FALSE)</f>
        <v>#N/A</v>
      </c>
      <c r="T4" s="97" t="e">
        <f t="shared" ref="T4:T5" si="5">K4*(((1-S4)*R4/I4)+S4-(R4/I4))*F4</f>
        <v>#N/A</v>
      </c>
      <c r="U4" s="97" t="e">
        <f t="shared" ref="U4:U5" si="6">-K4*(((1-S4)*R4/I4)+S4-(R4/I4))*G4</f>
        <v>#N/A</v>
      </c>
      <c r="V4" s="97">
        <f>IFERROR(S4*(K4*(1-R4/I4)+U4)+T4,0)</f>
        <v>0</v>
      </c>
      <c r="W4" s="97">
        <f>IFERROR(((1-S4)*K4*(R4/I4)/293.1),0)</f>
        <v>0</v>
      </c>
    </row>
    <row r="5" spans="1:23" ht="15">
      <c r="B5" s="89" t="s">
        <v>411</v>
      </c>
      <c r="C5" s="89" t="str">
        <f>'IQEF Intake Form'!G67</f>
        <v>Choose One</v>
      </c>
      <c r="D5" t="str">
        <f>'IQEF Intake Form'!L67</f>
        <v>Select</v>
      </c>
      <c r="E5" s="90" t="e">
        <f t="shared" si="0"/>
        <v>#N/A</v>
      </c>
      <c r="F5" s="89">
        <v>0.1167</v>
      </c>
      <c r="G5" s="89" t="e">
        <f t="shared" si="1"/>
        <v>#N/A</v>
      </c>
      <c r="H5" t="e">
        <f t="shared" si="2"/>
        <v>#N/A</v>
      </c>
      <c r="I5" s="89">
        <f>'IQEF Intake Form'!P67</f>
        <v>0</v>
      </c>
      <c r="J5">
        <f>'IQEF Intake Form'!Q67</f>
        <v>0</v>
      </c>
      <c r="K5" s="91">
        <f t="shared" si="3"/>
        <v>3519</v>
      </c>
      <c r="L5" s="91">
        <v>2815</v>
      </c>
      <c r="M5" s="91">
        <v>4520</v>
      </c>
      <c r="N5" s="92">
        <v>1.63</v>
      </c>
      <c r="O5" s="89">
        <v>2.9</v>
      </c>
      <c r="P5" s="91">
        <v>3189</v>
      </c>
      <c r="Q5" s="90">
        <v>0.93</v>
      </c>
      <c r="R5">
        <f>'IQEF Intake Form'!H67</f>
        <v>0</v>
      </c>
      <c r="S5" s="89" t="e">
        <f t="shared" si="4"/>
        <v>#N/A</v>
      </c>
      <c r="T5" s="97" t="e">
        <f t="shared" si="5"/>
        <v>#N/A</v>
      </c>
      <c r="U5" s="97" t="e">
        <f t="shared" si="6"/>
        <v>#N/A</v>
      </c>
      <c r="V5" s="97">
        <f>IFERROR(S5*(K5*(1-R5/I5)+U5)+T5,0)</f>
        <v>0</v>
      </c>
      <c r="W5" s="97">
        <f>IFERROR(((1-S5)*K5*(R5/I5)/293.1),0)</f>
        <v>0</v>
      </c>
    </row>
    <row r="7" spans="1:23" ht="27" thickBot="1">
      <c r="A7" s="44" t="s">
        <v>80</v>
      </c>
      <c r="B7" s="44" t="s">
        <v>389</v>
      </c>
      <c r="C7" s="98" t="s">
        <v>391</v>
      </c>
      <c r="D7" s="98" t="s">
        <v>392</v>
      </c>
    </row>
    <row r="8" spans="1:23" ht="13.5" thickBot="1">
      <c r="A8" s="94" t="s">
        <v>412</v>
      </c>
      <c r="B8" s="95">
        <v>0.44</v>
      </c>
      <c r="C8">
        <v>0.13930000000000001</v>
      </c>
      <c r="D8">
        <v>0.38529999999999998</v>
      </c>
    </row>
    <row r="9" spans="1:23" ht="13.5" thickBot="1">
      <c r="A9" s="94" t="s">
        <v>276</v>
      </c>
      <c r="B9" s="95">
        <v>0</v>
      </c>
      <c r="D9">
        <v>0.68799999999999994</v>
      </c>
    </row>
    <row r="10" spans="1:23" ht="13.5" thickBot="1">
      <c r="A10" s="94" t="s">
        <v>266</v>
      </c>
      <c r="B10" s="95">
        <v>1</v>
      </c>
      <c r="C10">
        <v>0.31659999999999999</v>
      </c>
    </row>
    <row r="12" spans="1:23" ht="15">
      <c r="A12" s="88" t="s">
        <v>388</v>
      </c>
    </row>
    <row r="13" spans="1:23" ht="15">
      <c r="A13" s="96" t="s">
        <v>266</v>
      </c>
      <c r="B13" s="91">
        <v>1</v>
      </c>
    </row>
    <row r="14" spans="1:23" ht="15">
      <c r="A14" s="96" t="s">
        <v>274</v>
      </c>
      <c r="B14" s="91">
        <v>0</v>
      </c>
    </row>
  </sheetData>
  <hyperlinks>
    <hyperlink ref="A1" r:id="rId1" location="fn11477" xr:uid="{5EAC1E03-A69F-462C-81B9-F99976E766F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D862-6C62-4E25-9A4C-F55B1D6CA6E5}">
  <dimension ref="A1:U31"/>
  <sheetViews>
    <sheetView topLeftCell="A7" workbookViewId="0">
      <selection activeCell="A2" sqref="A2"/>
    </sheetView>
    <sheetView workbookViewId="1">
      <selection activeCell="G29" sqref="G29"/>
    </sheetView>
  </sheetViews>
  <sheetFormatPr defaultRowHeight="12.75"/>
  <cols>
    <col min="1" max="1" width="38.28515625" customWidth="1"/>
    <col min="2" max="2" width="16.28515625" customWidth="1"/>
    <col min="3" max="3" width="12.42578125" bestFit="1" customWidth="1"/>
    <col min="4" max="4" width="8.42578125" customWidth="1"/>
    <col min="5" max="5" width="11.42578125" bestFit="1" customWidth="1"/>
    <col min="6" max="6" width="11.5703125" customWidth="1"/>
    <col min="7" max="8" width="12.85546875" bestFit="1" customWidth="1"/>
    <col min="9" max="9" width="16.140625" bestFit="1" customWidth="1"/>
    <col min="10" max="11" width="12.140625" bestFit="1" customWidth="1"/>
    <col min="12" max="12" width="13.42578125" customWidth="1"/>
    <col min="13" max="13" width="21.5703125" bestFit="1" customWidth="1"/>
    <col min="14" max="14" width="12.85546875" bestFit="1" customWidth="1"/>
    <col min="15" max="16" width="12" bestFit="1" customWidth="1"/>
    <col min="17" max="20" width="8.7109375" bestFit="1" customWidth="1"/>
    <col min="21" max="21" width="16.140625" bestFit="1" customWidth="1"/>
  </cols>
  <sheetData>
    <row r="1" spans="1:21">
      <c r="A1" s="59" t="s">
        <v>413</v>
      </c>
    </row>
    <row r="2" spans="1:21" ht="13.5" thickBot="1"/>
    <row r="3" spans="1:21" ht="18">
      <c r="A3" s="77" t="s">
        <v>414</v>
      </c>
      <c r="B3" s="64"/>
      <c r="C3" s="64"/>
      <c r="D3" s="64"/>
      <c r="E3" s="64"/>
      <c r="F3" s="64"/>
      <c r="G3" s="64"/>
      <c r="H3" s="64"/>
      <c r="I3" s="65"/>
      <c r="J3" s="64"/>
      <c r="K3" s="64"/>
      <c r="L3" s="64"/>
      <c r="M3" s="64"/>
      <c r="N3" s="64"/>
      <c r="O3" s="64"/>
      <c r="P3" s="66"/>
    </row>
    <row r="4" spans="1:21">
      <c r="A4" s="67" t="s">
        <v>415</v>
      </c>
      <c r="B4" s="42" t="s">
        <v>416</v>
      </c>
      <c r="C4" s="68" t="s">
        <v>417</v>
      </c>
      <c r="D4" s="42" t="s">
        <v>416</v>
      </c>
      <c r="E4" s="68" t="s">
        <v>418</v>
      </c>
      <c r="F4" s="68" t="s">
        <v>416</v>
      </c>
      <c r="G4" s="42" t="s">
        <v>416</v>
      </c>
      <c r="H4" s="42" t="s">
        <v>416</v>
      </c>
      <c r="I4" s="42" t="s">
        <v>416</v>
      </c>
      <c r="J4" s="42" t="s">
        <v>416</v>
      </c>
      <c r="K4" s="68" t="s">
        <v>416</v>
      </c>
      <c r="L4" s="42" t="s">
        <v>416</v>
      </c>
      <c r="M4" s="68" t="s">
        <v>416</v>
      </c>
      <c r="N4" s="42"/>
      <c r="O4" s="42"/>
      <c r="P4" s="69"/>
    </row>
    <row r="5" spans="1:21" ht="13.5" thickBot="1">
      <c r="A5" s="70" t="s">
        <v>419</v>
      </c>
      <c r="B5" s="60" t="s">
        <v>420</v>
      </c>
      <c r="C5" s="61" t="s">
        <v>421</v>
      </c>
      <c r="D5" s="60" t="s">
        <v>422</v>
      </c>
      <c r="E5" s="61" t="s">
        <v>423</v>
      </c>
      <c r="F5" s="61" t="s">
        <v>424</v>
      </c>
      <c r="G5" s="60" t="s">
        <v>425</v>
      </c>
      <c r="H5" s="60" t="s">
        <v>426</v>
      </c>
      <c r="I5" s="60" t="s">
        <v>427</v>
      </c>
      <c r="J5" s="60" t="s">
        <v>428</v>
      </c>
      <c r="K5" s="61" t="s">
        <v>429</v>
      </c>
      <c r="L5" s="60" t="s">
        <v>430</v>
      </c>
      <c r="M5" s="61" t="s">
        <v>431</v>
      </c>
      <c r="N5" s="60"/>
      <c r="O5" s="42" t="s">
        <v>432</v>
      </c>
      <c r="P5" s="69"/>
      <c r="U5" s="42"/>
    </row>
    <row r="6" spans="1:21" ht="15.75" thickBot="1">
      <c r="A6" s="71" t="s">
        <v>433</v>
      </c>
      <c r="B6">
        <v>2</v>
      </c>
      <c r="C6" s="72">
        <v>1.5</v>
      </c>
      <c r="D6">
        <v>7.8</v>
      </c>
      <c r="E6" s="72">
        <v>2.2200000000000002</v>
      </c>
      <c r="F6" s="72">
        <v>0.6</v>
      </c>
      <c r="G6">
        <v>365</v>
      </c>
      <c r="H6">
        <v>1.1000000000000001</v>
      </c>
      <c r="I6">
        <v>8.3000000000000007</v>
      </c>
      <c r="J6">
        <v>1</v>
      </c>
      <c r="K6" s="72">
        <v>101</v>
      </c>
      <c r="L6">
        <v>63.6</v>
      </c>
      <c r="M6" s="72">
        <v>0.98</v>
      </c>
      <c r="N6">
        <v>3412</v>
      </c>
      <c r="O6" s="62">
        <f>((B6-C6)*D6*E6*F6*G6/H6)*I6*J6*(K6-L6)/M6/N6</f>
        <v>160.02344199344452</v>
      </c>
      <c r="P6" s="63" t="s">
        <v>434</v>
      </c>
      <c r="U6" s="42"/>
    </row>
    <row r="7" spans="1:21" s="42" customFormat="1" ht="51">
      <c r="A7" s="67" t="s">
        <v>415</v>
      </c>
      <c r="B7" s="42" t="s">
        <v>416</v>
      </c>
      <c r="C7" s="42" t="s">
        <v>416</v>
      </c>
      <c r="D7" s="68" t="s">
        <v>417</v>
      </c>
      <c r="E7" s="42" t="s">
        <v>416</v>
      </c>
      <c r="F7" s="68" t="s">
        <v>435</v>
      </c>
      <c r="G7" s="68" t="s">
        <v>436</v>
      </c>
      <c r="H7" s="42" t="s">
        <v>416</v>
      </c>
      <c r="I7" s="68" t="s">
        <v>437</v>
      </c>
      <c r="J7" s="42" t="s">
        <v>416</v>
      </c>
      <c r="K7" s="42" t="s">
        <v>416</v>
      </c>
      <c r="L7" s="68" t="s">
        <v>438</v>
      </c>
      <c r="M7" s="42" t="s">
        <v>416</v>
      </c>
      <c r="O7" s="42" t="s">
        <v>416</v>
      </c>
      <c r="P7" s="69"/>
    </row>
    <row r="8" spans="1:21" s="42" customFormat="1" ht="26.25" thickBot="1">
      <c r="A8" s="70" t="s">
        <v>419</v>
      </c>
      <c r="B8" s="60" t="s">
        <v>420</v>
      </c>
      <c r="C8" s="60" t="s">
        <v>439</v>
      </c>
      <c r="D8" s="61" t="s">
        <v>421</v>
      </c>
      <c r="E8" s="60" t="s">
        <v>440</v>
      </c>
      <c r="F8" s="61" t="s">
        <v>441</v>
      </c>
      <c r="G8" s="61" t="s">
        <v>423</v>
      </c>
      <c r="H8" s="60" t="s">
        <v>425</v>
      </c>
      <c r="I8" s="61" t="s">
        <v>442</v>
      </c>
      <c r="J8" s="60" t="s">
        <v>427</v>
      </c>
      <c r="K8" s="60" t="s">
        <v>428</v>
      </c>
      <c r="L8" s="61" t="s">
        <v>443</v>
      </c>
      <c r="M8" s="60" t="s">
        <v>430</v>
      </c>
      <c r="N8" s="60"/>
      <c r="O8" s="60" t="s">
        <v>431</v>
      </c>
      <c r="P8" s="69" t="s">
        <v>432</v>
      </c>
    </row>
    <row r="9" spans="1:21" ht="15.75" thickBot="1">
      <c r="A9" s="71" t="s">
        <v>444</v>
      </c>
      <c r="B9">
        <v>2.2000000000000002</v>
      </c>
      <c r="C9">
        <v>0.83</v>
      </c>
      <c r="D9" s="72">
        <v>1.5</v>
      </c>
      <c r="E9">
        <v>0.95</v>
      </c>
      <c r="F9" s="72">
        <v>4.5</v>
      </c>
      <c r="G9" s="72">
        <v>2.2000000000000002</v>
      </c>
      <c r="H9">
        <v>365</v>
      </c>
      <c r="I9" s="72">
        <v>0.5</v>
      </c>
      <c r="J9">
        <v>8.3000000000000007</v>
      </c>
      <c r="K9">
        <v>1</v>
      </c>
      <c r="L9" s="72">
        <v>93</v>
      </c>
      <c r="M9">
        <v>63.6</v>
      </c>
      <c r="N9">
        <v>3412</v>
      </c>
      <c r="O9">
        <v>0.98</v>
      </c>
      <c r="P9" s="73">
        <f>((B9*C9)-(D9*E9))*F9*G9*H9*I9*J9*K9*(L9-M9)/O9/N9</f>
        <v>52.872854850527595</v>
      </c>
    </row>
    <row r="10" spans="1:21" ht="15.75" thickBot="1">
      <c r="A10" s="74" t="s">
        <v>445</v>
      </c>
      <c r="B10" s="75">
        <v>2.2000000000000002</v>
      </c>
      <c r="C10" s="75">
        <v>0.83</v>
      </c>
      <c r="D10" s="76">
        <v>1.5</v>
      </c>
      <c r="E10" s="75">
        <v>0.95</v>
      </c>
      <c r="F10" s="76">
        <v>1.6</v>
      </c>
      <c r="G10" s="76">
        <v>2.2000000000000002</v>
      </c>
      <c r="H10" s="75">
        <v>365</v>
      </c>
      <c r="I10" s="76">
        <v>0.7</v>
      </c>
      <c r="J10" s="75">
        <v>8.3000000000000007</v>
      </c>
      <c r="K10" s="75">
        <v>1</v>
      </c>
      <c r="L10" s="76">
        <v>86</v>
      </c>
      <c r="M10" s="75">
        <v>63.6</v>
      </c>
      <c r="N10" s="75">
        <v>3412</v>
      </c>
      <c r="O10" s="75">
        <v>0.98</v>
      </c>
      <c r="P10" s="73">
        <f>((B10*C10)-(D10*E10))*F10*G10*H10*I10*J10*K10*(L10-M10)/O10/N10</f>
        <v>20.052519765533425</v>
      </c>
    </row>
    <row r="12" spans="1:21" ht="13.5" thickBot="1"/>
    <row r="13" spans="1:21" ht="18">
      <c r="A13" s="77" t="s">
        <v>446</v>
      </c>
      <c r="B13" s="64"/>
      <c r="C13" s="64"/>
      <c r="D13" s="64"/>
      <c r="E13" s="64"/>
      <c r="F13" s="64"/>
      <c r="G13" s="64"/>
      <c r="H13" s="64"/>
      <c r="I13" s="65"/>
      <c r="J13" s="64"/>
      <c r="K13" s="64"/>
      <c r="L13" s="64"/>
      <c r="M13" s="64"/>
      <c r="N13" s="64"/>
      <c r="O13" s="64"/>
      <c r="P13" s="66"/>
    </row>
    <row r="14" spans="1:21">
      <c r="A14" s="67" t="s">
        <v>415</v>
      </c>
      <c r="B14" s="42" t="s">
        <v>416</v>
      </c>
      <c r="C14" s="68" t="s">
        <v>417</v>
      </c>
      <c r="D14" s="42" t="s">
        <v>416</v>
      </c>
      <c r="E14" s="68" t="s">
        <v>418</v>
      </c>
      <c r="F14" s="68" t="s">
        <v>416</v>
      </c>
      <c r="G14" s="42" t="s">
        <v>416</v>
      </c>
      <c r="H14" s="42" t="s">
        <v>416</v>
      </c>
      <c r="I14" s="42" t="s">
        <v>416</v>
      </c>
      <c r="J14" s="42" t="s">
        <v>416</v>
      </c>
      <c r="K14" s="68" t="s">
        <v>416</v>
      </c>
      <c r="L14" s="42" t="s">
        <v>416</v>
      </c>
      <c r="M14" s="68" t="s">
        <v>416</v>
      </c>
      <c r="N14" s="42" t="s">
        <v>416</v>
      </c>
      <c r="O14" s="42"/>
      <c r="P14" s="78"/>
    </row>
    <row r="15" spans="1:21" ht="13.5" thickBot="1">
      <c r="A15" s="70" t="s">
        <v>419</v>
      </c>
      <c r="B15" s="60" t="s">
        <v>420</v>
      </c>
      <c r="C15" s="61" t="s">
        <v>421</v>
      </c>
      <c r="D15" s="60" t="s">
        <v>422</v>
      </c>
      <c r="E15" s="61" t="s">
        <v>423</v>
      </c>
      <c r="F15" s="61" t="s">
        <v>424</v>
      </c>
      <c r="G15" s="60" t="s">
        <v>425</v>
      </c>
      <c r="H15" s="60" t="s">
        <v>426</v>
      </c>
      <c r="I15" s="60" t="s">
        <v>427</v>
      </c>
      <c r="J15" s="60" t="s">
        <v>428</v>
      </c>
      <c r="K15" s="61" t="s">
        <v>429</v>
      </c>
      <c r="L15" s="60" t="s">
        <v>430</v>
      </c>
      <c r="M15" s="61" t="s">
        <v>431</v>
      </c>
      <c r="N15" s="60" t="s">
        <v>447</v>
      </c>
      <c r="O15" s="42" t="s">
        <v>432</v>
      </c>
      <c r="P15" s="78"/>
    </row>
    <row r="16" spans="1:21" ht="15.75" thickBot="1">
      <c r="A16" s="71" t="s">
        <v>433</v>
      </c>
      <c r="B16">
        <v>2</v>
      </c>
      <c r="C16" s="72">
        <v>1.5</v>
      </c>
      <c r="D16">
        <v>7.8</v>
      </c>
      <c r="E16" s="72">
        <v>2.2200000000000002</v>
      </c>
      <c r="F16" s="72">
        <v>0.6</v>
      </c>
      <c r="G16">
        <v>365</v>
      </c>
      <c r="H16">
        <v>1.1000000000000001</v>
      </c>
      <c r="I16">
        <v>8.3000000000000007</v>
      </c>
      <c r="J16">
        <v>1</v>
      </c>
      <c r="K16" s="72">
        <v>101</v>
      </c>
      <c r="L16">
        <v>63.6</v>
      </c>
      <c r="M16" s="72">
        <v>0.8</v>
      </c>
      <c r="N16" s="80">
        <v>1000000</v>
      </c>
      <c r="O16" s="62">
        <f>(((B16-C16)*D16*E16*F16*G16/H16)*I16*J16*(K16-L16)/M16)/N16</f>
        <v>0.66884998050000011</v>
      </c>
      <c r="P16" s="78"/>
    </row>
    <row r="17" spans="1:16" ht="51">
      <c r="A17" s="67" t="s">
        <v>415</v>
      </c>
      <c r="B17" s="42" t="s">
        <v>416</v>
      </c>
      <c r="C17" s="42" t="s">
        <v>416</v>
      </c>
      <c r="D17" s="68" t="s">
        <v>417</v>
      </c>
      <c r="E17" s="42" t="s">
        <v>416</v>
      </c>
      <c r="F17" s="68" t="s">
        <v>435</v>
      </c>
      <c r="G17" s="68" t="s">
        <v>436</v>
      </c>
      <c r="H17" s="42" t="s">
        <v>416</v>
      </c>
      <c r="I17" s="68" t="s">
        <v>437</v>
      </c>
      <c r="J17" s="42" t="s">
        <v>416</v>
      </c>
      <c r="K17" s="42" t="s">
        <v>416</v>
      </c>
      <c r="L17" s="68" t="s">
        <v>438</v>
      </c>
      <c r="M17" s="42" t="s">
        <v>416</v>
      </c>
      <c r="N17" s="42" t="s">
        <v>416</v>
      </c>
      <c r="O17" s="42" t="s">
        <v>416</v>
      </c>
      <c r="P17" s="69"/>
    </row>
    <row r="18" spans="1:16" ht="26.25" thickBot="1">
      <c r="A18" s="70" t="s">
        <v>419</v>
      </c>
      <c r="B18" s="60" t="s">
        <v>420</v>
      </c>
      <c r="C18" s="60" t="s">
        <v>439</v>
      </c>
      <c r="D18" s="61" t="s">
        <v>421</v>
      </c>
      <c r="E18" s="60" t="s">
        <v>440</v>
      </c>
      <c r="F18" s="61" t="s">
        <v>441</v>
      </c>
      <c r="G18" s="61" t="s">
        <v>423</v>
      </c>
      <c r="H18" s="60" t="s">
        <v>425</v>
      </c>
      <c r="I18" s="61" t="s">
        <v>442</v>
      </c>
      <c r="J18" s="60" t="s">
        <v>427</v>
      </c>
      <c r="K18" s="60" t="s">
        <v>428</v>
      </c>
      <c r="L18" s="61" t="s">
        <v>443</v>
      </c>
      <c r="M18" s="60" t="s">
        <v>430</v>
      </c>
      <c r="N18" s="60" t="s">
        <v>447</v>
      </c>
      <c r="O18" s="60" t="s">
        <v>431</v>
      </c>
      <c r="P18" s="69" t="s">
        <v>432</v>
      </c>
    </row>
    <row r="19" spans="1:16" ht="15.75" thickBot="1">
      <c r="A19" s="71" t="s">
        <v>444</v>
      </c>
      <c r="B19">
        <v>2.2000000000000002</v>
      </c>
      <c r="C19">
        <v>0.83</v>
      </c>
      <c r="D19" s="72">
        <v>1.5</v>
      </c>
      <c r="E19">
        <v>0.95</v>
      </c>
      <c r="F19" s="72">
        <v>4.5</v>
      </c>
      <c r="G19" s="72">
        <v>2.2000000000000002</v>
      </c>
      <c r="H19">
        <v>365</v>
      </c>
      <c r="I19" s="72">
        <v>0.5</v>
      </c>
      <c r="J19">
        <v>8.3000000000000007</v>
      </c>
      <c r="K19">
        <v>1</v>
      </c>
      <c r="L19" s="72">
        <v>93</v>
      </c>
      <c r="M19">
        <v>63.6</v>
      </c>
      <c r="N19">
        <v>1000000</v>
      </c>
      <c r="O19">
        <v>0.8</v>
      </c>
      <c r="P19" s="73">
        <f>((B19*C19)-(D19*E19))*F19*G19*H19*I19*J19*K19*(L19-M19)/N19/O19</f>
        <v>0.22099267141875018</v>
      </c>
    </row>
    <row r="20" spans="1:16" ht="15.75" thickBot="1">
      <c r="A20" s="74" t="s">
        <v>445</v>
      </c>
      <c r="B20" s="75">
        <v>2.2000000000000002</v>
      </c>
      <c r="C20" s="75">
        <v>0.83</v>
      </c>
      <c r="D20" s="76">
        <v>1.5</v>
      </c>
      <c r="E20" s="75">
        <v>0.95</v>
      </c>
      <c r="F20" s="76">
        <v>1.6</v>
      </c>
      <c r="G20" s="76">
        <v>2.2000000000000002</v>
      </c>
      <c r="H20" s="75">
        <v>365</v>
      </c>
      <c r="I20" s="76">
        <v>0.7</v>
      </c>
      <c r="J20" s="75">
        <v>8.3000000000000007</v>
      </c>
      <c r="K20" s="75">
        <v>1</v>
      </c>
      <c r="L20" s="76">
        <v>86</v>
      </c>
      <c r="M20" s="75">
        <v>63.6</v>
      </c>
      <c r="N20" s="75">
        <v>1000000</v>
      </c>
      <c r="O20" s="75">
        <v>0.8</v>
      </c>
      <c r="P20" s="73">
        <f>((B20*C20)-(D20*E20))*F20*G20*H20*I20*J20*K20*(L20-M20)/N20/O20</f>
        <v>8.3813516864000043E-2</v>
      </c>
    </row>
    <row r="21" spans="1:16" ht="13.5" thickBot="1"/>
    <row r="22" spans="1:16">
      <c r="A22" s="82"/>
      <c r="B22" s="87" t="s">
        <v>274</v>
      </c>
      <c r="C22" s="86" t="s">
        <v>448</v>
      </c>
    </row>
    <row r="23" spans="1:16">
      <c r="A23" s="71" t="s">
        <v>449</v>
      </c>
      <c r="B23" t="s">
        <v>433</v>
      </c>
      <c r="C23" s="83">
        <f>D16*E16*F16*G16/H16*I16*J16*(K16-L16)/M16/N16</f>
        <v>1.3376999610000002</v>
      </c>
      <c r="D23">
        <f>C23*0.5</f>
        <v>0.66884998050000011</v>
      </c>
    </row>
    <row r="24" spans="1:16">
      <c r="A24" s="71" t="s">
        <v>450</v>
      </c>
      <c r="B24" t="s">
        <v>451</v>
      </c>
      <c r="C24" s="78">
        <f>F20*G20*H20*I20*J20*K20*(L20-M20)/N20/O20</f>
        <v>0.209011264</v>
      </c>
      <c r="D24">
        <f>C24*0.7</f>
        <v>0.14630788479999998</v>
      </c>
    </row>
    <row r="25" spans="1:16" ht="13.5" thickBot="1">
      <c r="A25" s="71" t="s">
        <v>278</v>
      </c>
      <c r="B25" t="s">
        <v>452</v>
      </c>
      <c r="C25" s="78">
        <f>F19*G19*H19*I19*J19*K19*(L19-M19)/N19/O19</f>
        <v>0.55110391874999998</v>
      </c>
      <c r="D25">
        <f>C25*0.7</f>
        <v>0.38577274312499998</v>
      </c>
    </row>
    <row r="26" spans="1:16">
      <c r="A26" s="82"/>
      <c r="B26" s="85" t="s">
        <v>266</v>
      </c>
      <c r="C26" s="86" t="s">
        <v>453</v>
      </c>
    </row>
    <row r="27" spans="1:16">
      <c r="A27" s="71" t="s">
        <v>281</v>
      </c>
      <c r="B27" t="s">
        <v>433</v>
      </c>
      <c r="C27" s="83">
        <v>317.16357870000002</v>
      </c>
      <c r="D27">
        <f>C27*0.5</f>
        <v>158.58178935000001</v>
      </c>
    </row>
    <row r="28" spans="1:16" ht="13.5" thickBot="1">
      <c r="A28" s="71" t="s">
        <v>454</v>
      </c>
      <c r="B28" t="s">
        <v>451</v>
      </c>
      <c r="C28" s="84">
        <f>F10*G10*H10*I10*J10*K10*(L10-M10)/O10/N10</f>
        <v>50.006283704572098</v>
      </c>
      <c r="D28">
        <f>C29*0.7</f>
        <v>92.296754103165298</v>
      </c>
    </row>
    <row r="29" spans="1:16" ht="13.5" thickBot="1">
      <c r="A29" s="74" t="s">
        <v>455</v>
      </c>
      <c r="B29" s="75" t="s">
        <v>452</v>
      </c>
      <c r="C29" s="78">
        <f>F9*G9*H9*I9*J9*K9*(L9-M9)/O9/N9</f>
        <v>131.85250586166472</v>
      </c>
      <c r="D29">
        <f>C28*0.7</f>
        <v>35.004398593200463</v>
      </c>
    </row>
    <row r="31" spans="1:16">
      <c r="H31" t="b">
        <f>IFERROR(IF('IQEF Intake Form'!E73='Lists &amp; Other References'!A53,IF('IQEF Intake Form'!F73='Lists &amp; Other References'!C2,('IQEF Intake Form'!I73-'IQEF Intake Form'!M73)*317.1635787,('IQEF Intake Form'!I73-'IQEF Intake Form'!M73)*1.32564861),FALSE),0)</f>
        <v>0</v>
      </c>
    </row>
  </sheetData>
  <hyperlinks>
    <hyperlink ref="A1" r:id="rId1" xr:uid="{A5A54D87-D372-4B10-8A82-8333F233FBEF}"/>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0581D-C532-4C65-BFE0-6B667CA76911}">
  <dimension ref="A1:U51"/>
  <sheetViews>
    <sheetView workbookViewId="0">
      <selection activeCell="A2" sqref="A2"/>
    </sheetView>
    <sheetView workbookViewId="1"/>
  </sheetViews>
  <sheetFormatPr defaultColWidth="15.42578125" defaultRowHeight="12.75"/>
  <cols>
    <col min="1" max="1" width="10.7109375" style="42" customWidth="1"/>
    <col min="2" max="2" width="44.7109375" style="42" customWidth="1"/>
    <col min="3" max="3" width="44.7109375" style="42" hidden="1" customWidth="1"/>
    <col min="4" max="4" width="28.7109375" style="42" customWidth="1"/>
    <col min="5" max="16384" width="15.42578125" style="42"/>
  </cols>
  <sheetData>
    <row r="1" spans="1:21" ht="25.5">
      <c r="A1" s="41" t="s">
        <v>456</v>
      </c>
      <c r="E1" s="41" t="s">
        <v>457</v>
      </c>
    </row>
    <row r="2" spans="1:21">
      <c r="A2" s="45" t="s">
        <v>80</v>
      </c>
      <c r="B2" s="45" t="s">
        <v>80</v>
      </c>
      <c r="D2" s="45" t="s">
        <v>80</v>
      </c>
      <c r="E2" s="45" t="s">
        <v>80</v>
      </c>
    </row>
    <row r="3" spans="1:21" ht="15">
      <c r="A3" s="352" t="s">
        <v>255</v>
      </c>
      <c r="B3" s="352" t="s">
        <v>256</v>
      </c>
      <c r="C3" s="352"/>
      <c r="D3" s="352" t="s">
        <v>263</v>
      </c>
      <c r="E3" s="42" t="s">
        <v>261</v>
      </c>
    </row>
    <row r="4" spans="1:21" ht="15">
      <c r="A4" s="352" t="s">
        <v>263</v>
      </c>
      <c r="B4" s="352" t="s">
        <v>458</v>
      </c>
      <c r="C4" s="352"/>
      <c r="D4" s="352" t="s">
        <v>260</v>
      </c>
      <c r="E4" s="42" t="s">
        <v>253</v>
      </c>
    </row>
    <row r="5" spans="1:21" ht="15">
      <c r="A5" s="43"/>
      <c r="B5" s="43"/>
      <c r="C5" s="43"/>
      <c r="D5" s="352" t="s">
        <v>257</v>
      </c>
    </row>
    <row r="6" spans="1:21" ht="38.25">
      <c r="B6" s="42" t="s">
        <v>97</v>
      </c>
      <c r="D6" s="42" t="s">
        <v>99</v>
      </c>
      <c r="E6" s="42" t="s">
        <v>100</v>
      </c>
      <c r="F6" s="42" t="s">
        <v>101</v>
      </c>
      <c r="G6" s="42" t="s">
        <v>102</v>
      </c>
      <c r="H6" s="42" t="s">
        <v>101</v>
      </c>
      <c r="I6" s="42" t="s">
        <v>103</v>
      </c>
      <c r="J6" s="42" t="s">
        <v>104</v>
      </c>
      <c r="K6" s="42" t="s">
        <v>101</v>
      </c>
      <c r="L6" s="42" t="s">
        <v>459</v>
      </c>
      <c r="M6" s="42" t="s">
        <v>109</v>
      </c>
      <c r="N6" s="42" t="s">
        <v>110</v>
      </c>
      <c r="O6" s="42" t="s">
        <v>101</v>
      </c>
      <c r="P6" s="42" t="s">
        <v>111</v>
      </c>
      <c r="Q6" s="42" t="s">
        <v>101</v>
      </c>
      <c r="R6" s="42" t="s">
        <v>112</v>
      </c>
      <c r="S6" s="42" t="s">
        <v>113</v>
      </c>
      <c r="T6" s="42" t="s">
        <v>101</v>
      </c>
    </row>
    <row r="7" spans="1:21" s="46" customFormat="1">
      <c r="A7" s="49" t="s">
        <v>409</v>
      </c>
      <c r="B7" s="42" t="str">
        <f>'IQEF Intake Form'!G42</f>
        <v>Select</v>
      </c>
      <c r="C7" s="42"/>
      <c r="D7" s="55">
        <f>'IQEF Intake Form'!I42</f>
        <v>0</v>
      </c>
      <c r="E7" s="55">
        <f>'IQEF Intake Form'!J42</f>
        <v>0</v>
      </c>
      <c r="F7" s="55" t="str">
        <f>'IQEF Intake Form'!K42</f>
        <v>Select</v>
      </c>
      <c r="G7" s="55">
        <f>'IQEF Intake Form'!L42</f>
        <v>0</v>
      </c>
      <c r="H7" s="55" t="str">
        <f>'IQEF Intake Form'!M42</f>
        <v>Select</v>
      </c>
      <c r="I7" s="55">
        <f>'IQEF Intake Form'!N42</f>
        <v>0</v>
      </c>
      <c r="J7" s="57">
        <f>'IQEF Intake Form'!O42</f>
        <v>0</v>
      </c>
      <c r="K7" s="55" t="str">
        <f>'IQEF Intake Form'!P42</f>
        <v>Select</v>
      </c>
      <c r="L7" s="55" t="b">
        <f>IF(K7="COP",J7*3.412)</f>
        <v>0</v>
      </c>
      <c r="M7" s="55">
        <f>'IQEF Intake Form'!W42</f>
        <v>0</v>
      </c>
      <c r="N7" s="55">
        <f>'IQEF Intake Form'!X42</f>
        <v>0</v>
      </c>
      <c r="O7" s="55" t="str">
        <f>'IQEF Intake Form'!Y42</f>
        <v>Select</v>
      </c>
      <c r="P7" s="55">
        <f>'IQEF Intake Form'!Z42</f>
        <v>0</v>
      </c>
      <c r="Q7" s="55" t="str">
        <f>'IQEF Intake Form'!AA42</f>
        <v>Select</v>
      </c>
      <c r="R7" s="55">
        <f>'IQEF Intake Form'!AB42</f>
        <v>0</v>
      </c>
      <c r="S7" s="55">
        <f>'IQEF Intake Form'!AC42</f>
        <v>0</v>
      </c>
      <c r="T7" s="55" t="str">
        <f>'IQEF Intake Form'!AD42</f>
        <v>Select</v>
      </c>
    </row>
    <row r="8" spans="1:21" s="47" customFormat="1">
      <c r="A8" s="47" t="s">
        <v>410</v>
      </c>
      <c r="B8" s="42" t="str">
        <f>'IQEF Intake Form'!G43</f>
        <v>Select</v>
      </c>
      <c r="C8" s="42"/>
      <c r="D8" s="55">
        <f>'IQEF Intake Form'!I43</f>
        <v>0</v>
      </c>
      <c r="E8" s="55">
        <f>'IQEF Intake Form'!J43</f>
        <v>0</v>
      </c>
      <c r="F8" s="55" t="str">
        <f>'IQEF Intake Form'!K43</f>
        <v>Select</v>
      </c>
      <c r="G8" s="55">
        <f>'IQEF Intake Form'!L43</f>
        <v>0</v>
      </c>
      <c r="H8" s="55" t="str">
        <f>'IQEF Intake Form'!M43</f>
        <v>Select</v>
      </c>
      <c r="I8" s="55">
        <f>'IQEF Intake Form'!N43</f>
        <v>0</v>
      </c>
      <c r="J8" s="57">
        <f>'IQEF Intake Form'!O43</f>
        <v>0</v>
      </c>
      <c r="K8" s="55" t="str">
        <f>'IQEF Intake Form'!P43</f>
        <v>Select</v>
      </c>
      <c r="L8" s="55" t="b">
        <f t="shared" ref="L8:L9" si="0">IF(K8="COP",J8*3.412)</f>
        <v>0</v>
      </c>
      <c r="M8" s="55">
        <f>'IQEF Intake Form'!W43</f>
        <v>0</v>
      </c>
      <c r="N8" s="55">
        <f>'IQEF Intake Form'!X43</f>
        <v>0</v>
      </c>
      <c r="O8" s="55" t="str">
        <f>'IQEF Intake Form'!Y43</f>
        <v>Select</v>
      </c>
      <c r="P8" s="55">
        <f>'IQEF Intake Form'!Z43</f>
        <v>0</v>
      </c>
      <c r="Q8" s="55" t="str">
        <f>'IQEF Intake Form'!AA43</f>
        <v>Select</v>
      </c>
      <c r="R8" s="55">
        <f>'IQEF Intake Form'!AB43</f>
        <v>0</v>
      </c>
      <c r="S8" s="55">
        <f>'IQEF Intake Form'!AC43</f>
        <v>0</v>
      </c>
      <c r="T8" s="55" t="str">
        <f>'IQEF Intake Form'!AD43</f>
        <v>Select</v>
      </c>
    </row>
    <row r="9" spans="1:21" s="48" customFormat="1">
      <c r="A9" s="48" t="s">
        <v>411</v>
      </c>
      <c r="B9" s="42" t="str">
        <f>'IQEF Intake Form'!G44</f>
        <v>Select</v>
      </c>
      <c r="C9" s="42"/>
      <c r="D9" s="55">
        <f>'IQEF Intake Form'!I44</f>
        <v>0</v>
      </c>
      <c r="E9" s="55">
        <f>'IQEF Intake Form'!J44</f>
        <v>0</v>
      </c>
      <c r="F9" s="55" t="str">
        <f>'IQEF Intake Form'!K44</f>
        <v>Select</v>
      </c>
      <c r="G9" s="55">
        <f>'IQEF Intake Form'!L44</f>
        <v>0</v>
      </c>
      <c r="H9" s="55" t="str">
        <f>'IQEF Intake Form'!M44</f>
        <v>Select</v>
      </c>
      <c r="I9" s="55">
        <f>'IQEF Intake Form'!N44</f>
        <v>0</v>
      </c>
      <c r="J9" s="57">
        <f>'IQEF Intake Form'!O44</f>
        <v>0</v>
      </c>
      <c r="K9" s="55" t="str">
        <f>'IQEF Intake Form'!P44</f>
        <v>Select</v>
      </c>
      <c r="L9" s="55" t="b">
        <f t="shared" si="0"/>
        <v>0</v>
      </c>
      <c r="M9" s="55">
        <f>'IQEF Intake Form'!W44</f>
        <v>0</v>
      </c>
      <c r="N9" s="55">
        <f>'IQEF Intake Form'!X44</f>
        <v>0</v>
      </c>
      <c r="O9" s="55" t="str">
        <f>'IQEF Intake Form'!Y44</f>
        <v>Select</v>
      </c>
      <c r="P9" s="55">
        <f>'IQEF Intake Form'!Z44</f>
        <v>0</v>
      </c>
      <c r="Q9" s="55" t="str">
        <f>'IQEF Intake Form'!AA44</f>
        <v>Select</v>
      </c>
      <c r="R9" s="55">
        <f>'IQEF Intake Form'!AB44</f>
        <v>0</v>
      </c>
      <c r="S9" s="55">
        <f>'IQEF Intake Form'!AC44</f>
        <v>0</v>
      </c>
      <c r="T9" s="55" t="str">
        <f>'IQEF Intake Form'!AD44</f>
        <v>Select</v>
      </c>
    </row>
    <row r="10" spans="1:21" s="48" customFormat="1">
      <c r="A10" s="49" t="s">
        <v>460</v>
      </c>
      <c r="B10" s="42" t="str">
        <f>'IQEF Intake Form'!G45</f>
        <v>Select</v>
      </c>
      <c r="C10" s="42"/>
      <c r="D10" s="55">
        <f>'IQEF Intake Form'!I45</f>
        <v>0</v>
      </c>
      <c r="E10" s="55">
        <f>'IQEF Intake Form'!J45</f>
        <v>0</v>
      </c>
      <c r="F10" s="55" t="str">
        <f>'IQEF Intake Form'!K45</f>
        <v>Select</v>
      </c>
      <c r="G10" s="55">
        <f>'IQEF Intake Form'!L45</f>
        <v>0</v>
      </c>
      <c r="H10" s="55" t="str">
        <f>'IQEF Intake Form'!M45</f>
        <v>Select</v>
      </c>
      <c r="I10" s="55">
        <f>'IQEF Intake Form'!N45</f>
        <v>0</v>
      </c>
      <c r="J10" s="57">
        <f>'IQEF Intake Form'!O45</f>
        <v>0</v>
      </c>
      <c r="K10" s="55" t="str">
        <f>'IQEF Intake Form'!P45</f>
        <v>Select</v>
      </c>
      <c r="L10" s="55" t="b">
        <f t="shared" ref="L10:L12" si="1">IF(K10="COP",J10*3.412)</f>
        <v>0</v>
      </c>
      <c r="M10" s="55">
        <f>'IQEF Intake Form'!W45</f>
        <v>0</v>
      </c>
      <c r="N10" s="55">
        <f>'IQEF Intake Form'!X45</f>
        <v>0</v>
      </c>
      <c r="O10" s="55" t="str">
        <f>'IQEF Intake Form'!Y45</f>
        <v>Select</v>
      </c>
      <c r="P10" s="55">
        <f>'IQEF Intake Form'!Z45</f>
        <v>0</v>
      </c>
      <c r="Q10" s="55" t="str">
        <f>'IQEF Intake Form'!AA45</f>
        <v>Select</v>
      </c>
      <c r="R10" s="55">
        <f>'IQEF Intake Form'!AB45</f>
        <v>0</v>
      </c>
      <c r="S10" s="55">
        <f>'IQEF Intake Form'!AC45</f>
        <v>0</v>
      </c>
      <c r="T10" s="55" t="str">
        <f>'IQEF Intake Form'!AD45</f>
        <v>Select</v>
      </c>
      <c r="U10" s="46"/>
    </row>
    <row r="11" spans="1:21" s="48" customFormat="1">
      <c r="A11" s="47" t="s">
        <v>461</v>
      </c>
      <c r="B11" s="42" t="str">
        <f>'IQEF Intake Form'!G46</f>
        <v>Select</v>
      </c>
      <c r="C11" s="42"/>
      <c r="D11" s="55">
        <f>'IQEF Intake Form'!I46</f>
        <v>0</v>
      </c>
      <c r="E11" s="55">
        <f>'IQEF Intake Form'!J46</f>
        <v>0</v>
      </c>
      <c r="F11" s="55" t="str">
        <f>'IQEF Intake Form'!K46</f>
        <v>Select</v>
      </c>
      <c r="G11" s="55">
        <f>'IQEF Intake Form'!L46</f>
        <v>0</v>
      </c>
      <c r="H11" s="55" t="str">
        <f>'IQEF Intake Form'!M46</f>
        <v>Select</v>
      </c>
      <c r="I11" s="55">
        <f>'IQEF Intake Form'!N46</f>
        <v>0</v>
      </c>
      <c r="J11" s="57">
        <f>'IQEF Intake Form'!O46</f>
        <v>0</v>
      </c>
      <c r="K11" s="55" t="str">
        <f>'IQEF Intake Form'!P46</f>
        <v>Select</v>
      </c>
      <c r="L11" s="55" t="b">
        <f t="shared" si="1"/>
        <v>0</v>
      </c>
      <c r="M11" s="55">
        <f>'IQEF Intake Form'!W46</f>
        <v>0</v>
      </c>
      <c r="N11" s="55">
        <f>'IQEF Intake Form'!X46</f>
        <v>0</v>
      </c>
      <c r="O11" s="55" t="str">
        <f>'IQEF Intake Form'!Y46</f>
        <v>Select</v>
      </c>
      <c r="P11" s="55">
        <f>'IQEF Intake Form'!Z46</f>
        <v>0</v>
      </c>
      <c r="Q11" s="55" t="str">
        <f>'IQEF Intake Form'!AA46</f>
        <v>Select</v>
      </c>
      <c r="R11" s="55">
        <f>'IQEF Intake Form'!AB46</f>
        <v>0</v>
      </c>
      <c r="S11" s="55">
        <f>'IQEF Intake Form'!AC46</f>
        <v>0</v>
      </c>
      <c r="T11" s="55" t="str">
        <f>'IQEF Intake Form'!AD46</f>
        <v>Select</v>
      </c>
      <c r="U11" s="47"/>
    </row>
    <row r="12" spans="1:21" s="48" customFormat="1">
      <c r="A12" s="48" t="s">
        <v>462</v>
      </c>
      <c r="B12" s="42" t="str">
        <f>'IQEF Intake Form'!G47</f>
        <v>Select</v>
      </c>
      <c r="C12" s="42"/>
      <c r="D12" s="55">
        <f>'IQEF Intake Form'!I47</f>
        <v>0</v>
      </c>
      <c r="E12" s="55">
        <f>'IQEF Intake Form'!J47</f>
        <v>0</v>
      </c>
      <c r="F12" s="55" t="str">
        <f>'IQEF Intake Form'!K47</f>
        <v>Select</v>
      </c>
      <c r="G12" s="55">
        <f>'IQEF Intake Form'!L47</f>
        <v>0</v>
      </c>
      <c r="H12" s="55" t="str">
        <f>'IQEF Intake Form'!M47</f>
        <v>Select</v>
      </c>
      <c r="I12" s="55">
        <f>'IQEF Intake Form'!N47</f>
        <v>0</v>
      </c>
      <c r="J12" s="57">
        <f>'IQEF Intake Form'!O47</f>
        <v>0</v>
      </c>
      <c r="K12" s="55" t="str">
        <f>'IQEF Intake Form'!P47</f>
        <v>Select</v>
      </c>
      <c r="L12" s="55" t="b">
        <f t="shared" si="1"/>
        <v>0</v>
      </c>
      <c r="M12" s="55">
        <f>'IQEF Intake Form'!W47</f>
        <v>0</v>
      </c>
      <c r="N12" s="55">
        <f>'IQEF Intake Form'!X47</f>
        <v>0</v>
      </c>
      <c r="O12" s="55" t="str">
        <f>'IQEF Intake Form'!Y47</f>
        <v>Select</v>
      </c>
      <c r="P12" s="55">
        <f>'IQEF Intake Form'!Z47</f>
        <v>0</v>
      </c>
      <c r="Q12" s="55" t="str">
        <f>'IQEF Intake Form'!AA47</f>
        <v>Select</v>
      </c>
      <c r="R12" s="55">
        <f>'IQEF Intake Form'!AB47</f>
        <v>0</v>
      </c>
      <c r="S12" s="55">
        <f>'IQEF Intake Form'!AC47</f>
        <v>0</v>
      </c>
      <c r="T12" s="55" t="str">
        <f>'IQEF Intake Form'!AD47</f>
        <v>Select</v>
      </c>
    </row>
    <row r="14" spans="1:21" ht="38.25">
      <c r="B14" s="44"/>
      <c r="C14" s="44" t="s">
        <v>463</v>
      </c>
      <c r="D14" s="44" t="s">
        <v>464</v>
      </c>
      <c r="E14" s="45" t="s">
        <v>465</v>
      </c>
      <c r="F14" s="45" t="s">
        <v>466</v>
      </c>
      <c r="G14" s="42" t="s">
        <v>467</v>
      </c>
      <c r="H14" s="45" t="s">
        <v>468</v>
      </c>
      <c r="I14" s="45" t="s">
        <v>469</v>
      </c>
      <c r="J14" s="42" t="s">
        <v>470</v>
      </c>
      <c r="K14" s="42" t="s">
        <v>471</v>
      </c>
      <c r="L14" s="42" t="s">
        <v>472</v>
      </c>
      <c r="M14" s="42" t="s">
        <v>473</v>
      </c>
      <c r="N14" s="42" t="s">
        <v>474</v>
      </c>
    </row>
    <row r="15" spans="1:21" s="46" customFormat="1">
      <c r="A15" s="49" t="s">
        <v>409</v>
      </c>
      <c r="B15" s="46" t="s">
        <v>252</v>
      </c>
      <c r="C15" s="46" t="str">
        <f>CONCATENATE(A15,B15)</f>
        <v>Entry 1Commercial Air Source Heat Pump</v>
      </c>
      <c r="D15" s="42" t="s">
        <v>475</v>
      </c>
      <c r="E15" s="42">
        <v>1347</v>
      </c>
      <c r="F15" s="42"/>
      <c r="G15" s="42"/>
      <c r="H15" s="42">
        <v>687</v>
      </c>
      <c r="I15" s="42">
        <v>970</v>
      </c>
      <c r="J15" s="42"/>
      <c r="K15" s="52" t="e">
        <f>(D7/G7-M7/P7)/1000*E15</f>
        <v>#DIV/0!</v>
      </c>
      <c r="L15" s="52" t="e">
        <f>IF(K7&lt;&gt;"AFUE",(I7/J7-R7/S7)/1000*H15,0)</f>
        <v>#DIV/0!</v>
      </c>
      <c r="M15" s="53" t="e">
        <f>SUM(K15:L15)</f>
        <v>#DIV/0!</v>
      </c>
      <c r="N15" s="54">
        <f>IF(K7="AFUE",I15*I7/J7/1000000,0)</f>
        <v>0</v>
      </c>
      <c r="O15" s="49" t="s">
        <v>409</v>
      </c>
    </row>
    <row r="16" spans="1:21" s="47" customFormat="1">
      <c r="A16" s="50" t="s">
        <v>410</v>
      </c>
      <c r="B16" s="47" t="s">
        <v>252</v>
      </c>
      <c r="C16" s="46" t="str">
        <f t="shared" ref="C16:C47" si="2">CONCATENATE(A16,B16)</f>
        <v>Entry 2Commercial Air Source Heat Pump</v>
      </c>
      <c r="D16" s="42" t="s">
        <v>475</v>
      </c>
      <c r="E16" s="42">
        <v>1347</v>
      </c>
      <c r="F16" s="42"/>
      <c r="G16" s="42"/>
      <c r="H16" s="42">
        <v>687</v>
      </c>
      <c r="I16" s="42">
        <v>970</v>
      </c>
      <c r="J16" s="42"/>
      <c r="K16" s="52" t="e">
        <f>(D8/G8-M8/P8)/1000*E16</f>
        <v>#DIV/0!</v>
      </c>
      <c r="L16" s="52" t="e">
        <f>IF(K8&lt;&gt;"AFUE",(I8/J8-R8/S8)/1000*H16,0)</f>
        <v>#DIV/0!</v>
      </c>
      <c r="M16" s="53" t="e">
        <f t="shared" ref="M16:M21" si="3">SUM(K16:L16)</f>
        <v>#DIV/0!</v>
      </c>
      <c r="N16" s="42">
        <f>IF(K8="AFUE",I16*I8/J8/1000000,0)</f>
        <v>0</v>
      </c>
      <c r="O16" s="50" t="s">
        <v>410</v>
      </c>
    </row>
    <row r="17" spans="1:15" s="48" customFormat="1">
      <c r="A17" s="51" t="s">
        <v>411</v>
      </c>
      <c r="B17" s="48" t="s">
        <v>252</v>
      </c>
      <c r="C17" s="46" t="str">
        <f t="shared" si="2"/>
        <v>Entry 3Commercial Air Source Heat Pump</v>
      </c>
      <c r="D17" s="42" t="s">
        <v>475</v>
      </c>
      <c r="E17" s="42">
        <v>1347</v>
      </c>
      <c r="F17" s="42"/>
      <c r="G17" s="42"/>
      <c r="H17" s="42">
        <v>687</v>
      </c>
      <c r="I17" s="42">
        <v>970</v>
      </c>
      <c r="J17" s="42"/>
      <c r="K17" s="52" t="e">
        <f>(D9/G9-M9/P9)/1000*E17</f>
        <v>#DIV/0!</v>
      </c>
      <c r="L17" s="52" t="e">
        <f>IF(K9&lt;&gt;"AFUE",(I9/J9-R9/S9)/1000*H17,0)</f>
        <v>#DIV/0!</v>
      </c>
      <c r="M17" s="53" t="e">
        <f t="shared" si="3"/>
        <v>#DIV/0!</v>
      </c>
      <c r="N17" s="42">
        <f>IF(K9="AFUE",I17*I9/J9/1000000,0)</f>
        <v>0</v>
      </c>
      <c r="O17" s="51" t="s">
        <v>411</v>
      </c>
    </row>
    <row r="18" spans="1:15" s="48" customFormat="1">
      <c r="A18" s="49" t="s">
        <v>460</v>
      </c>
      <c r="B18" s="46" t="s">
        <v>252</v>
      </c>
      <c r="C18" s="46" t="str">
        <f t="shared" ref="C18:C20" si="4">CONCATENATE(A18,B18)</f>
        <v>Entry 4Commercial Air Source Heat Pump</v>
      </c>
      <c r="D18" s="42" t="s">
        <v>475</v>
      </c>
      <c r="E18" s="42">
        <v>1347</v>
      </c>
      <c r="F18" s="42"/>
      <c r="G18" s="42"/>
      <c r="H18" s="42">
        <v>687</v>
      </c>
      <c r="I18" s="42">
        <v>970</v>
      </c>
      <c r="J18" s="42"/>
      <c r="K18" s="52" t="e">
        <f t="shared" ref="K18:K20" si="5">(D10/G10-M10/P10)/1000*E18</f>
        <v>#DIV/0!</v>
      </c>
      <c r="L18" s="52" t="e">
        <f t="shared" ref="L18:L20" si="6">IF(K10&lt;&gt;"AFUE",(I10/J10-R10/S10)/1000*H18,0)</f>
        <v>#DIV/0!</v>
      </c>
      <c r="M18" s="53" t="e">
        <f t="shared" ref="M18:M20" si="7">SUM(K18:L18)</f>
        <v>#DIV/0!</v>
      </c>
      <c r="N18" s="42">
        <f t="shared" ref="N18:N20" si="8">IF(K10="AFUE",I18*I10/J10/1000000,0)</f>
        <v>0</v>
      </c>
      <c r="O18" s="49" t="s">
        <v>460</v>
      </c>
    </row>
    <row r="19" spans="1:15" s="48" customFormat="1">
      <c r="A19" s="47" t="s">
        <v>461</v>
      </c>
      <c r="B19" s="47" t="s">
        <v>252</v>
      </c>
      <c r="C19" s="46" t="str">
        <f t="shared" si="4"/>
        <v>Entry 5Commercial Air Source Heat Pump</v>
      </c>
      <c r="D19" s="42" t="s">
        <v>475</v>
      </c>
      <c r="E19" s="42">
        <v>1347</v>
      </c>
      <c r="F19" s="42"/>
      <c r="G19" s="42"/>
      <c r="H19" s="42">
        <v>687</v>
      </c>
      <c r="I19" s="42">
        <v>970</v>
      </c>
      <c r="J19" s="42"/>
      <c r="K19" s="52" t="e">
        <f t="shared" si="5"/>
        <v>#DIV/0!</v>
      </c>
      <c r="L19" s="52" t="e">
        <f t="shared" si="6"/>
        <v>#DIV/0!</v>
      </c>
      <c r="M19" s="53" t="e">
        <f t="shared" si="7"/>
        <v>#DIV/0!</v>
      </c>
      <c r="N19" s="42">
        <f t="shared" si="8"/>
        <v>0</v>
      </c>
      <c r="O19" s="47" t="s">
        <v>461</v>
      </c>
    </row>
    <row r="20" spans="1:15" s="48" customFormat="1">
      <c r="A20" s="48" t="s">
        <v>462</v>
      </c>
      <c r="B20" s="48" t="s">
        <v>252</v>
      </c>
      <c r="C20" s="46" t="str">
        <f t="shared" si="4"/>
        <v>Entry 6Commercial Air Source Heat Pump</v>
      </c>
      <c r="D20" s="42" t="s">
        <v>475</v>
      </c>
      <c r="E20" s="42">
        <v>1347</v>
      </c>
      <c r="F20" s="42"/>
      <c r="G20" s="42"/>
      <c r="H20" s="42">
        <v>687</v>
      </c>
      <c r="I20" s="42">
        <v>970</v>
      </c>
      <c r="J20" s="42"/>
      <c r="K20" s="52" t="e">
        <f t="shared" si="5"/>
        <v>#DIV/0!</v>
      </c>
      <c r="L20" s="52" t="e">
        <f t="shared" si="6"/>
        <v>#DIV/0!</v>
      </c>
      <c r="M20" s="53" t="e">
        <f t="shared" si="7"/>
        <v>#DIV/0!</v>
      </c>
      <c r="N20" s="42">
        <f t="shared" si="8"/>
        <v>0</v>
      </c>
      <c r="O20" s="48" t="s">
        <v>462</v>
      </c>
    </row>
    <row r="21" spans="1:15" s="46" customFormat="1">
      <c r="A21" s="49" t="s">
        <v>409</v>
      </c>
      <c r="B21" s="46" t="s">
        <v>349</v>
      </c>
      <c r="C21" s="46" t="str">
        <f t="shared" si="2"/>
        <v>Entry 1Unitary and Split Air Conditioning</v>
      </c>
      <c r="D21" s="42" t="s">
        <v>255</v>
      </c>
      <c r="E21" s="42">
        <v>1014</v>
      </c>
      <c r="F21" s="42">
        <v>1823</v>
      </c>
      <c r="G21" s="42"/>
      <c r="H21" s="42">
        <v>0</v>
      </c>
      <c r="I21" s="42">
        <v>0</v>
      </c>
      <c r="J21" s="42"/>
      <c r="K21" s="52" t="e">
        <f>IF(D7&gt;135000,(D7/E7-M7/N7)/1000*F21,(D7/E7-M7/N7)/1000*E21)</f>
        <v>#DIV/0!</v>
      </c>
      <c r="L21" s="52">
        <v>0</v>
      </c>
      <c r="M21" s="53" t="e">
        <f t="shared" si="3"/>
        <v>#DIV/0!</v>
      </c>
      <c r="N21" s="54">
        <v>0</v>
      </c>
      <c r="O21" s="49" t="s">
        <v>409</v>
      </c>
    </row>
    <row r="22" spans="1:15" s="47" customFormat="1">
      <c r="A22" s="50" t="s">
        <v>410</v>
      </c>
      <c r="B22" s="47" t="s">
        <v>349</v>
      </c>
      <c r="C22" s="46" t="str">
        <f t="shared" si="2"/>
        <v>Entry 2Unitary and Split Air Conditioning</v>
      </c>
      <c r="D22" s="42" t="s">
        <v>255</v>
      </c>
      <c r="E22" s="42">
        <v>1014</v>
      </c>
      <c r="F22" s="42">
        <v>1823</v>
      </c>
      <c r="G22" s="42"/>
      <c r="H22" s="42">
        <v>0</v>
      </c>
      <c r="I22" s="42">
        <v>0</v>
      </c>
      <c r="J22" s="42"/>
      <c r="K22" s="52" t="e">
        <f>IF(D8&gt;135000,(D8/E8-M8/N8)/1000*F22,(D8/E8-M8/N8)/1000*E22)</f>
        <v>#DIV/0!</v>
      </c>
      <c r="L22" s="52">
        <v>0</v>
      </c>
      <c r="M22" s="53" t="e">
        <f t="shared" ref="M22:M23" si="9">SUM(K22:L22)</f>
        <v>#DIV/0!</v>
      </c>
      <c r="N22" s="54">
        <v>0</v>
      </c>
      <c r="O22" s="50" t="s">
        <v>410</v>
      </c>
    </row>
    <row r="23" spans="1:15" s="48" customFormat="1">
      <c r="A23" s="51" t="s">
        <v>411</v>
      </c>
      <c r="B23" s="48" t="s">
        <v>349</v>
      </c>
      <c r="C23" s="46" t="str">
        <f t="shared" si="2"/>
        <v>Entry 3Unitary and Split Air Conditioning</v>
      </c>
      <c r="D23" s="42" t="s">
        <v>255</v>
      </c>
      <c r="E23" s="42">
        <v>1014</v>
      </c>
      <c r="F23" s="42">
        <v>1823</v>
      </c>
      <c r="G23" s="42"/>
      <c r="H23" s="42">
        <v>0</v>
      </c>
      <c r="I23" s="42">
        <v>0</v>
      </c>
      <c r="J23" s="42"/>
      <c r="K23" s="52" t="e">
        <f>IF(D9&gt;135000,(D9/E9-M9/N9)/1000*F23,(D9/E9-M9/N9)/1000*E23)</f>
        <v>#DIV/0!</v>
      </c>
      <c r="L23" s="52">
        <v>0</v>
      </c>
      <c r="M23" s="53" t="e">
        <f t="shared" si="9"/>
        <v>#DIV/0!</v>
      </c>
      <c r="N23" s="54">
        <v>0</v>
      </c>
      <c r="O23" s="51" t="s">
        <v>411</v>
      </c>
    </row>
    <row r="24" spans="1:15" s="48" customFormat="1">
      <c r="A24" s="49" t="s">
        <v>460</v>
      </c>
      <c r="B24" s="46" t="s">
        <v>349</v>
      </c>
      <c r="C24" s="46" t="str">
        <f t="shared" ref="C24:C26" si="10">CONCATENATE(A24,B24)</f>
        <v>Entry 4Unitary and Split Air Conditioning</v>
      </c>
      <c r="D24" s="42" t="s">
        <v>255</v>
      </c>
      <c r="E24" s="42">
        <v>1014</v>
      </c>
      <c r="F24" s="42">
        <v>1823</v>
      </c>
      <c r="G24" s="42"/>
      <c r="H24" s="42">
        <v>0</v>
      </c>
      <c r="I24" s="42">
        <v>0</v>
      </c>
      <c r="J24" s="42"/>
      <c r="K24" s="52" t="e">
        <f t="shared" ref="K24:K26" si="11">IF(D10&gt;135000,(D10/E10-M10/N10)/1000*F24,(D10/E10-M10/N10)/1000*E24)</f>
        <v>#DIV/0!</v>
      </c>
      <c r="L24" s="52">
        <v>0</v>
      </c>
      <c r="M24" s="53" t="e">
        <f t="shared" ref="M24:M26" si="12">SUM(K24:L24)</f>
        <v>#DIV/0!</v>
      </c>
      <c r="N24" s="54">
        <v>0</v>
      </c>
      <c r="O24" s="49" t="s">
        <v>460</v>
      </c>
    </row>
    <row r="25" spans="1:15" s="48" customFormat="1">
      <c r="A25" s="47" t="s">
        <v>461</v>
      </c>
      <c r="B25" s="47" t="s">
        <v>349</v>
      </c>
      <c r="C25" s="46" t="str">
        <f t="shared" si="10"/>
        <v>Entry 5Unitary and Split Air Conditioning</v>
      </c>
      <c r="D25" s="42" t="s">
        <v>255</v>
      </c>
      <c r="E25" s="42">
        <v>1014</v>
      </c>
      <c r="F25" s="42">
        <v>1823</v>
      </c>
      <c r="G25" s="42"/>
      <c r="H25" s="42">
        <v>0</v>
      </c>
      <c r="I25" s="42">
        <v>0</v>
      </c>
      <c r="J25" s="42"/>
      <c r="K25" s="52" t="e">
        <f>IF(D11&gt;135000,(D11/E11-M11/N11)/1000*F25,(D11/E11-M11/N11)/1000*E25)</f>
        <v>#DIV/0!</v>
      </c>
      <c r="L25" s="52">
        <v>0</v>
      </c>
      <c r="M25" s="53" t="e">
        <f t="shared" si="12"/>
        <v>#DIV/0!</v>
      </c>
      <c r="N25" s="54">
        <v>0</v>
      </c>
      <c r="O25" s="47" t="s">
        <v>461</v>
      </c>
    </row>
    <row r="26" spans="1:15" s="48" customFormat="1">
      <c r="A26" s="48" t="s">
        <v>462</v>
      </c>
      <c r="B26" s="48" t="s">
        <v>349</v>
      </c>
      <c r="C26" s="46" t="str">
        <f t="shared" si="10"/>
        <v>Entry 6Unitary and Split Air Conditioning</v>
      </c>
      <c r="D26" s="42" t="s">
        <v>255</v>
      </c>
      <c r="E26" s="42">
        <v>1014</v>
      </c>
      <c r="F26" s="42">
        <v>1823</v>
      </c>
      <c r="G26" s="42"/>
      <c r="H26" s="42">
        <v>0</v>
      </c>
      <c r="I26" s="42">
        <v>0</v>
      </c>
      <c r="J26" s="42"/>
      <c r="K26" s="52" t="e">
        <f t="shared" si="11"/>
        <v>#DIV/0!</v>
      </c>
      <c r="L26" s="52">
        <v>0</v>
      </c>
      <c r="M26" s="53" t="e">
        <f t="shared" si="12"/>
        <v>#DIV/0!</v>
      </c>
      <c r="N26" s="54">
        <v>0</v>
      </c>
      <c r="O26" s="48" t="s">
        <v>462</v>
      </c>
    </row>
    <row r="27" spans="1:15" s="46" customFormat="1">
      <c r="A27" s="49" t="s">
        <v>409</v>
      </c>
      <c r="B27" s="46" t="s">
        <v>264</v>
      </c>
      <c r="C27" s="46" t="str">
        <f t="shared" si="2"/>
        <v>Entry 1Ductless Mini-Split Heat Pump</v>
      </c>
      <c r="D27" s="42" t="s">
        <v>476</v>
      </c>
      <c r="E27" s="55">
        <v>1347</v>
      </c>
      <c r="F27" s="42"/>
      <c r="G27" s="42">
        <v>935</v>
      </c>
      <c r="H27" s="56">
        <v>687</v>
      </c>
      <c r="I27" s="56">
        <v>687</v>
      </c>
      <c r="J27" s="42">
        <v>822</v>
      </c>
      <c r="K27" s="52" t="e">
        <f>IF(B7="Common Area",(D7/G7-M7/P7)/1000*E27,(D7/G7-M7/P7)/1000*G27)</f>
        <v>#DIV/0!</v>
      </c>
      <c r="L27" s="52" t="e">
        <f>IF(K7="COP", IF(B7="Common Area",(I7/L7-R7/S7)/1000*H27,(I7/L7-R7/S7)/1000*J27), IF(K7&lt;&gt;"AFUE",IF(B7="Common Area",(I7/J7-R7/S7)/1000*H27,(I7/J7-R7/S7)/1000*J27),0))</f>
        <v>#DIV/0!</v>
      </c>
      <c r="M27" s="53" t="e">
        <f t="shared" ref="M27:M51" si="13">SUM(K27:L27)</f>
        <v>#DIV/0!</v>
      </c>
      <c r="N27" s="54">
        <f>IF(K7="AFUE",IF(B7="Common Area",(I7/J7)/1000000*I27,(I7/J7)/1000000*J27),0)</f>
        <v>0</v>
      </c>
      <c r="O27" s="49" t="s">
        <v>409</v>
      </c>
    </row>
    <row r="28" spans="1:15" s="47" customFormat="1">
      <c r="A28" s="50" t="s">
        <v>410</v>
      </c>
      <c r="B28" s="47" t="s">
        <v>264</v>
      </c>
      <c r="C28" s="46" t="str">
        <f t="shared" si="2"/>
        <v>Entry 2Ductless Mini-Split Heat Pump</v>
      </c>
      <c r="D28" s="42" t="s">
        <v>476</v>
      </c>
      <c r="E28" s="55">
        <v>1347</v>
      </c>
      <c r="F28" s="42"/>
      <c r="G28" s="42">
        <v>935</v>
      </c>
      <c r="H28" s="56">
        <v>687</v>
      </c>
      <c r="I28" s="56">
        <v>687</v>
      </c>
      <c r="J28" s="42">
        <v>822</v>
      </c>
      <c r="K28" s="52" t="e">
        <f>IF(B8="Common Area",(D8/G8-M8/P8)/1000*E28,(D8/G8-M8/P8)/1000*G28)</f>
        <v>#DIV/0!</v>
      </c>
      <c r="L28" s="52" t="e">
        <f>IF(K8&lt;&gt;"AFUE",IF(B8="Common Area",(I8/J8-R8/S8)/1000*H28,(I8/J8-R8/S8)/1000*J28),0)</f>
        <v>#DIV/0!</v>
      </c>
      <c r="M28" s="53" t="e">
        <f t="shared" si="13"/>
        <v>#DIV/0!</v>
      </c>
      <c r="N28" s="54">
        <f>IF(K8="AFUE",IF(B8="Common Area",(I8/J8)/1000000*I28,(I8/J8)/1000000*J28),0)</f>
        <v>0</v>
      </c>
      <c r="O28" s="50" t="s">
        <v>410</v>
      </c>
    </row>
    <row r="29" spans="1:15" s="48" customFormat="1">
      <c r="A29" s="51" t="s">
        <v>411</v>
      </c>
      <c r="B29" s="48" t="s">
        <v>264</v>
      </c>
      <c r="C29" s="46" t="str">
        <f t="shared" si="2"/>
        <v>Entry 3Ductless Mini-Split Heat Pump</v>
      </c>
      <c r="D29" s="42" t="s">
        <v>476</v>
      </c>
      <c r="E29" s="55">
        <v>1347</v>
      </c>
      <c r="F29" s="42"/>
      <c r="G29" s="42">
        <v>935</v>
      </c>
      <c r="H29" s="56">
        <v>687</v>
      </c>
      <c r="I29" s="56">
        <v>687</v>
      </c>
      <c r="J29" s="42">
        <v>822</v>
      </c>
      <c r="K29" s="52" t="e">
        <f>IF(B9="Common Area",(D9/G9-M9/P9)/1000*E29,(D9/G9-M9/P9)/1000*G29)</f>
        <v>#DIV/0!</v>
      </c>
      <c r="L29" s="52" t="e">
        <f>IF(K9&lt;&gt;"AFUE",IF(B9="Common Area",(I9/J9-R9/S9)/1000*H29,(I9/J9-R9/S9)/1000*J29),0)</f>
        <v>#DIV/0!</v>
      </c>
      <c r="M29" s="53" t="e">
        <f t="shared" si="13"/>
        <v>#DIV/0!</v>
      </c>
      <c r="N29" s="54">
        <f>IF(K9="AFUE",IF(B9="Common Area",(I9/J9)/1000000*I29,(I9/J9)/1000000*J29),0)</f>
        <v>0</v>
      </c>
      <c r="O29" s="51" t="s">
        <v>411</v>
      </c>
    </row>
    <row r="30" spans="1:15" s="48" customFormat="1">
      <c r="A30" s="49" t="s">
        <v>460</v>
      </c>
      <c r="B30" s="46" t="s">
        <v>264</v>
      </c>
      <c r="C30" s="46" t="str">
        <f t="shared" ref="C30:C32" si="14">CONCATENATE(A30,B30)</f>
        <v>Entry 4Ductless Mini-Split Heat Pump</v>
      </c>
      <c r="D30" s="42" t="s">
        <v>476</v>
      </c>
      <c r="E30" s="55">
        <v>1347</v>
      </c>
      <c r="F30" s="42"/>
      <c r="G30" s="42">
        <v>935</v>
      </c>
      <c r="H30" s="56">
        <v>687</v>
      </c>
      <c r="I30" s="56">
        <v>687</v>
      </c>
      <c r="J30" s="42">
        <v>822</v>
      </c>
      <c r="K30" s="52" t="e">
        <f t="shared" ref="K30:K32" si="15">IF(B10="Common Area",(D10/G10-M10/P10)/1000*E30,(D10/G10-M10/P10)/1000*G30)</f>
        <v>#DIV/0!</v>
      </c>
      <c r="L30" s="52" t="e">
        <f t="shared" ref="L30:L32" si="16">IF(K10&lt;&gt;"AFUE",IF(B10="Common Area",(I10/J10-R10/S10)/1000*H30,(I10/J10-R10/S10)/1000*J30),0)</f>
        <v>#DIV/0!</v>
      </c>
      <c r="M30" s="53" t="e">
        <f t="shared" ref="M30:M32" si="17">SUM(K30:L30)</f>
        <v>#DIV/0!</v>
      </c>
      <c r="N30" s="54">
        <f t="shared" ref="N30:N32" si="18">IF(K10="AFUE",IF(B10="Common Area",(I10/J10)/1000000*I30,(I10/J10)/1000000*J30),0)</f>
        <v>0</v>
      </c>
      <c r="O30" s="49" t="s">
        <v>460</v>
      </c>
    </row>
    <row r="31" spans="1:15" s="48" customFormat="1">
      <c r="A31" s="47" t="s">
        <v>461</v>
      </c>
      <c r="B31" s="47" t="s">
        <v>264</v>
      </c>
      <c r="C31" s="46" t="str">
        <f t="shared" si="14"/>
        <v>Entry 5Ductless Mini-Split Heat Pump</v>
      </c>
      <c r="D31" s="42" t="s">
        <v>476</v>
      </c>
      <c r="E31" s="55">
        <v>1347</v>
      </c>
      <c r="F31" s="42"/>
      <c r="G31" s="42">
        <v>935</v>
      </c>
      <c r="H31" s="56">
        <v>687</v>
      </c>
      <c r="I31" s="56">
        <v>687</v>
      </c>
      <c r="J31" s="42">
        <v>822</v>
      </c>
      <c r="K31" s="52" t="e">
        <f t="shared" si="15"/>
        <v>#DIV/0!</v>
      </c>
      <c r="L31" s="52" t="e">
        <f t="shared" si="16"/>
        <v>#DIV/0!</v>
      </c>
      <c r="M31" s="53" t="e">
        <f t="shared" si="17"/>
        <v>#DIV/0!</v>
      </c>
      <c r="N31" s="54">
        <f t="shared" si="18"/>
        <v>0</v>
      </c>
      <c r="O31" s="47" t="s">
        <v>461</v>
      </c>
    </row>
    <row r="32" spans="1:15" s="48" customFormat="1">
      <c r="A32" s="48" t="s">
        <v>462</v>
      </c>
      <c r="B32" s="48" t="s">
        <v>264</v>
      </c>
      <c r="C32" s="46" t="str">
        <f t="shared" si="14"/>
        <v>Entry 6Ductless Mini-Split Heat Pump</v>
      </c>
      <c r="D32" s="42" t="s">
        <v>476</v>
      </c>
      <c r="E32" s="55">
        <v>1347</v>
      </c>
      <c r="F32" s="42"/>
      <c r="G32" s="42">
        <v>935</v>
      </c>
      <c r="H32" s="56">
        <v>687</v>
      </c>
      <c r="I32" s="56">
        <v>687</v>
      </c>
      <c r="J32" s="42">
        <v>822</v>
      </c>
      <c r="K32" s="52" t="e">
        <f t="shared" si="15"/>
        <v>#DIV/0!</v>
      </c>
      <c r="L32" s="52" t="e">
        <f t="shared" si="16"/>
        <v>#DIV/0!</v>
      </c>
      <c r="M32" s="53" t="e">
        <f t="shared" si="17"/>
        <v>#DIV/0!</v>
      </c>
      <c r="N32" s="54">
        <f t="shared" si="18"/>
        <v>0</v>
      </c>
      <c r="O32" s="48" t="s">
        <v>462</v>
      </c>
    </row>
    <row r="33" spans="1:15" s="46" customFormat="1">
      <c r="A33" s="49" t="s">
        <v>409</v>
      </c>
      <c r="B33" s="46" t="s">
        <v>350</v>
      </c>
      <c r="C33" s="46" t="str">
        <f t="shared" si="2"/>
        <v>Entry 1Residential Air Source Heat Pump</v>
      </c>
      <c r="D33" s="42" t="s">
        <v>476</v>
      </c>
      <c r="E33" s="42"/>
      <c r="F33" s="42"/>
      <c r="G33" s="42">
        <v>935</v>
      </c>
      <c r="H33" s="42"/>
      <c r="I33" s="42"/>
      <c r="J33" s="42">
        <v>822</v>
      </c>
      <c r="K33" s="52" t="e">
        <f>(D7/G7-M7/P7)/1000*G33</f>
        <v>#DIV/0!</v>
      </c>
      <c r="L33" s="52" t="e">
        <f>IF(K7="AFUE",0,(I7/J7-R7/S7)/1000*K33)</f>
        <v>#DIV/0!</v>
      </c>
      <c r="M33" s="53" t="e">
        <f t="shared" si="13"/>
        <v>#DIV/0!</v>
      </c>
      <c r="N33" s="54">
        <f>IF(K7="AFUE",50.1*0.81,0)</f>
        <v>0</v>
      </c>
      <c r="O33" s="49" t="s">
        <v>409</v>
      </c>
    </row>
    <row r="34" spans="1:15" s="47" customFormat="1">
      <c r="A34" s="50" t="s">
        <v>410</v>
      </c>
      <c r="B34" s="47" t="s">
        <v>350</v>
      </c>
      <c r="C34" s="46" t="str">
        <f t="shared" si="2"/>
        <v>Entry 2Residential Air Source Heat Pump</v>
      </c>
      <c r="D34" s="42" t="s">
        <v>476</v>
      </c>
      <c r="E34" s="42"/>
      <c r="F34" s="42"/>
      <c r="G34" s="42">
        <v>935</v>
      </c>
      <c r="H34" s="42"/>
      <c r="I34" s="42"/>
      <c r="J34" s="42">
        <v>822</v>
      </c>
      <c r="K34" s="52" t="e">
        <f>(D8/G8-M8/P8)/1000*G34</f>
        <v>#DIV/0!</v>
      </c>
      <c r="L34" s="52" t="e">
        <f>IF(K8="AFUE",0,(I8/J8-R8/S8)/1000*K34)</f>
        <v>#DIV/0!</v>
      </c>
      <c r="M34" s="53" t="e">
        <f t="shared" ref="M34:M35" si="19">SUM(K34:L34)</f>
        <v>#DIV/0!</v>
      </c>
      <c r="N34" s="54">
        <f>IF(K8="AFUE",50.1*0.81,0)</f>
        <v>0</v>
      </c>
      <c r="O34" s="50" t="s">
        <v>410</v>
      </c>
    </row>
    <row r="35" spans="1:15" s="48" customFormat="1">
      <c r="A35" s="51" t="s">
        <v>411</v>
      </c>
      <c r="B35" s="48" t="s">
        <v>350</v>
      </c>
      <c r="C35" s="46" t="str">
        <f t="shared" si="2"/>
        <v>Entry 3Residential Air Source Heat Pump</v>
      </c>
      <c r="D35" s="42" t="s">
        <v>476</v>
      </c>
      <c r="E35" s="42"/>
      <c r="F35" s="42"/>
      <c r="G35" s="42">
        <v>935</v>
      </c>
      <c r="H35" s="42"/>
      <c r="I35" s="42"/>
      <c r="J35" s="42">
        <v>822</v>
      </c>
      <c r="K35" s="52" t="e">
        <f>(D9/G9-M9/P9)/1000*G35</f>
        <v>#DIV/0!</v>
      </c>
      <c r="L35" s="52" t="e">
        <f>IF(K9="AFUE",0,(I9/J9-R9/S9)/1000*K35)</f>
        <v>#DIV/0!</v>
      </c>
      <c r="M35" s="53" t="e">
        <f t="shared" si="19"/>
        <v>#DIV/0!</v>
      </c>
      <c r="N35" s="54">
        <f>IF(K9="AFUE",50.1*0.81,0)</f>
        <v>0</v>
      </c>
      <c r="O35" s="51" t="s">
        <v>411</v>
      </c>
    </row>
    <row r="36" spans="1:15" s="48" customFormat="1">
      <c r="A36" s="49" t="s">
        <v>460</v>
      </c>
      <c r="B36" s="46" t="s">
        <v>350</v>
      </c>
      <c r="C36" s="46" t="str">
        <f t="shared" ref="C36:C38" si="20">CONCATENATE(A36,B36)</f>
        <v>Entry 4Residential Air Source Heat Pump</v>
      </c>
      <c r="D36" s="42" t="s">
        <v>476</v>
      </c>
      <c r="E36" s="42"/>
      <c r="F36" s="42"/>
      <c r="G36" s="42">
        <v>935</v>
      </c>
      <c r="H36" s="42"/>
      <c r="I36" s="42"/>
      <c r="J36" s="42">
        <v>822</v>
      </c>
      <c r="K36" s="52" t="e">
        <f t="shared" ref="K36:K38" si="21">(D10/G10-M10/P10)/1000*G36</f>
        <v>#DIV/0!</v>
      </c>
      <c r="L36" s="52" t="e">
        <f t="shared" ref="L36:L38" si="22">IF(K10="AFUE",0,(I10/J10-R10/S10)/1000*K36)</f>
        <v>#DIV/0!</v>
      </c>
      <c r="M36" s="53" t="e">
        <f t="shared" ref="M36:M38" si="23">SUM(K36:L36)</f>
        <v>#DIV/0!</v>
      </c>
      <c r="N36" s="54">
        <f t="shared" ref="N36:N38" si="24">IF(K10="AFUE",50.1*0.81,0)</f>
        <v>0</v>
      </c>
      <c r="O36" s="49" t="s">
        <v>460</v>
      </c>
    </row>
    <row r="37" spans="1:15" s="48" customFormat="1">
      <c r="A37" s="47" t="s">
        <v>461</v>
      </c>
      <c r="B37" s="47" t="s">
        <v>350</v>
      </c>
      <c r="C37" s="46" t="str">
        <f t="shared" si="20"/>
        <v>Entry 5Residential Air Source Heat Pump</v>
      </c>
      <c r="D37" s="42" t="s">
        <v>476</v>
      </c>
      <c r="E37" s="42"/>
      <c r="F37" s="42"/>
      <c r="G37" s="42">
        <v>935</v>
      </c>
      <c r="H37" s="42"/>
      <c r="I37" s="42"/>
      <c r="J37" s="42">
        <v>822</v>
      </c>
      <c r="K37" s="52" t="e">
        <f t="shared" si="21"/>
        <v>#DIV/0!</v>
      </c>
      <c r="L37" s="52" t="e">
        <f t="shared" si="22"/>
        <v>#DIV/0!</v>
      </c>
      <c r="M37" s="53" t="e">
        <f t="shared" si="23"/>
        <v>#DIV/0!</v>
      </c>
      <c r="N37" s="54">
        <f t="shared" si="24"/>
        <v>0</v>
      </c>
      <c r="O37" s="47" t="s">
        <v>461</v>
      </c>
    </row>
    <row r="38" spans="1:15" s="48" customFormat="1">
      <c r="A38" s="48" t="s">
        <v>462</v>
      </c>
      <c r="B38" s="48" t="s">
        <v>350</v>
      </c>
      <c r="C38" s="46" t="str">
        <f t="shared" si="20"/>
        <v>Entry 6Residential Air Source Heat Pump</v>
      </c>
      <c r="D38" s="42" t="s">
        <v>476</v>
      </c>
      <c r="E38" s="42"/>
      <c r="F38" s="42"/>
      <c r="G38" s="42">
        <v>935</v>
      </c>
      <c r="H38" s="42"/>
      <c r="I38" s="42"/>
      <c r="J38" s="42">
        <v>822</v>
      </c>
      <c r="K38" s="52" t="e">
        <f t="shared" si="21"/>
        <v>#DIV/0!</v>
      </c>
      <c r="L38" s="52" t="e">
        <f t="shared" si="22"/>
        <v>#DIV/0!</v>
      </c>
      <c r="M38" s="53" t="e">
        <f t="shared" si="23"/>
        <v>#DIV/0!</v>
      </c>
      <c r="N38" s="54">
        <f t="shared" si="24"/>
        <v>0</v>
      </c>
      <c r="O38" s="48" t="s">
        <v>462</v>
      </c>
    </row>
    <row r="39" spans="1:15" s="46" customFormat="1" ht="25.5">
      <c r="A39" s="49" t="s">
        <v>409</v>
      </c>
      <c r="B39" s="46" t="s">
        <v>351</v>
      </c>
      <c r="C39" s="46" t="str">
        <f t="shared" si="2"/>
        <v>Entry 1Residential High Efficiency Central Air Conditioning</v>
      </c>
      <c r="D39" s="42" t="s">
        <v>256</v>
      </c>
      <c r="E39" s="42"/>
      <c r="F39" s="42"/>
      <c r="G39" s="42">
        <v>668</v>
      </c>
      <c r="H39" s="42"/>
      <c r="I39" s="42"/>
      <c r="J39" s="42"/>
      <c r="K39" s="52" t="e">
        <f>(D7/G7-M7/P7)/1000*G39</f>
        <v>#DIV/0!</v>
      </c>
      <c r="L39" s="52">
        <v>0</v>
      </c>
      <c r="M39" s="53" t="e">
        <f t="shared" si="13"/>
        <v>#DIV/0!</v>
      </c>
      <c r="N39" s="42">
        <v>0</v>
      </c>
      <c r="O39" s="49" t="s">
        <v>409</v>
      </c>
    </row>
    <row r="40" spans="1:15" s="47" customFormat="1" ht="25.5">
      <c r="A40" s="50" t="s">
        <v>410</v>
      </c>
      <c r="B40" s="47" t="s">
        <v>351</v>
      </c>
      <c r="C40" s="46" t="str">
        <f t="shared" si="2"/>
        <v>Entry 2Residential High Efficiency Central Air Conditioning</v>
      </c>
      <c r="D40" s="42" t="s">
        <v>256</v>
      </c>
      <c r="E40" s="42"/>
      <c r="F40" s="42"/>
      <c r="G40" s="42">
        <v>668</v>
      </c>
      <c r="H40" s="42"/>
      <c r="I40" s="42"/>
      <c r="J40" s="42"/>
      <c r="K40" s="52" t="e">
        <f>(D8/G8-M8/P8)/1000*G40</f>
        <v>#DIV/0!</v>
      </c>
      <c r="L40" s="52">
        <v>1</v>
      </c>
      <c r="M40" s="53" t="e">
        <f t="shared" ref="M40:M45" si="25">SUM(K40:L40)</f>
        <v>#DIV/0!</v>
      </c>
      <c r="N40" s="42">
        <v>0</v>
      </c>
      <c r="O40" s="50" t="s">
        <v>410</v>
      </c>
    </row>
    <row r="41" spans="1:15" s="48" customFormat="1" ht="25.5">
      <c r="A41" s="51" t="s">
        <v>411</v>
      </c>
      <c r="B41" s="48" t="s">
        <v>351</v>
      </c>
      <c r="C41" s="46" t="str">
        <f t="shared" si="2"/>
        <v>Entry 3Residential High Efficiency Central Air Conditioning</v>
      </c>
      <c r="D41" s="42" t="s">
        <v>256</v>
      </c>
      <c r="E41" s="42"/>
      <c r="F41" s="42"/>
      <c r="G41" s="42">
        <v>668</v>
      </c>
      <c r="H41" s="42"/>
      <c r="I41" s="42"/>
      <c r="J41" s="42"/>
      <c r="K41" s="52" t="e">
        <f>(D9/G9-M9/P9)/1000*G41</f>
        <v>#DIV/0!</v>
      </c>
      <c r="L41" s="52">
        <v>2</v>
      </c>
      <c r="M41" s="53" t="e">
        <f t="shared" si="25"/>
        <v>#DIV/0!</v>
      </c>
      <c r="N41" s="42">
        <v>0</v>
      </c>
      <c r="O41" s="51" t="s">
        <v>411</v>
      </c>
    </row>
    <row r="42" spans="1:15" s="48" customFormat="1" ht="25.5">
      <c r="A42" s="49" t="s">
        <v>460</v>
      </c>
      <c r="B42" s="46" t="s">
        <v>351</v>
      </c>
      <c r="C42" s="46" t="str">
        <f t="shared" ref="C42:C44" si="26">CONCATENATE(A42,B42)</f>
        <v>Entry 4Residential High Efficiency Central Air Conditioning</v>
      </c>
      <c r="D42" s="42" t="s">
        <v>256</v>
      </c>
      <c r="E42" s="42"/>
      <c r="F42" s="42"/>
      <c r="G42" s="42">
        <v>668</v>
      </c>
      <c r="H42" s="42"/>
      <c r="I42" s="42"/>
      <c r="J42" s="42"/>
      <c r="K42" s="52" t="e">
        <f t="shared" ref="K42:K44" si="27">(D10/G10-M10/P10)/1000*G42</f>
        <v>#DIV/0!</v>
      </c>
      <c r="L42" s="52">
        <v>2</v>
      </c>
      <c r="M42" s="53" t="e">
        <f t="shared" ref="M42:M44" si="28">SUM(K42:L42)</f>
        <v>#DIV/0!</v>
      </c>
      <c r="N42" s="42">
        <v>0</v>
      </c>
      <c r="O42" s="49" t="s">
        <v>460</v>
      </c>
    </row>
    <row r="43" spans="1:15" s="48" customFormat="1" ht="25.5">
      <c r="A43" s="47" t="s">
        <v>461</v>
      </c>
      <c r="B43" s="47" t="s">
        <v>351</v>
      </c>
      <c r="C43" s="46" t="str">
        <f t="shared" si="26"/>
        <v>Entry 5Residential High Efficiency Central Air Conditioning</v>
      </c>
      <c r="D43" s="42" t="s">
        <v>256</v>
      </c>
      <c r="E43" s="42"/>
      <c r="F43" s="42"/>
      <c r="G43" s="42">
        <v>668</v>
      </c>
      <c r="H43" s="42"/>
      <c r="I43" s="42"/>
      <c r="J43" s="42"/>
      <c r="K43" s="52" t="e">
        <f t="shared" si="27"/>
        <v>#DIV/0!</v>
      </c>
      <c r="L43" s="52">
        <v>2</v>
      </c>
      <c r="M43" s="53" t="e">
        <f t="shared" si="28"/>
        <v>#DIV/0!</v>
      </c>
      <c r="N43" s="42">
        <v>0</v>
      </c>
      <c r="O43" s="47" t="s">
        <v>461</v>
      </c>
    </row>
    <row r="44" spans="1:15" s="48" customFormat="1" ht="25.5">
      <c r="A44" s="48" t="s">
        <v>462</v>
      </c>
      <c r="B44" s="48" t="s">
        <v>351</v>
      </c>
      <c r="C44" s="46" t="str">
        <f t="shared" si="26"/>
        <v>Entry 6Residential High Efficiency Central Air Conditioning</v>
      </c>
      <c r="D44" s="42" t="s">
        <v>256</v>
      </c>
      <c r="E44" s="42"/>
      <c r="F44" s="42"/>
      <c r="G44" s="42">
        <v>668</v>
      </c>
      <c r="H44" s="42"/>
      <c r="I44" s="42"/>
      <c r="J44" s="42"/>
      <c r="K44" s="52" t="e">
        <f t="shared" si="27"/>
        <v>#DIV/0!</v>
      </c>
      <c r="L44" s="52">
        <v>2</v>
      </c>
      <c r="M44" s="53" t="e">
        <f t="shared" si="28"/>
        <v>#DIV/0!</v>
      </c>
      <c r="N44" s="42">
        <v>0</v>
      </c>
      <c r="O44" s="48" t="s">
        <v>462</v>
      </c>
    </row>
    <row r="45" spans="1:15" s="46" customFormat="1">
      <c r="A45" s="49" t="s">
        <v>409</v>
      </c>
      <c r="B45" s="46" t="s">
        <v>477</v>
      </c>
      <c r="C45" s="46" t="str">
        <f t="shared" si="2"/>
        <v>Entry 1Other</v>
      </c>
      <c r="D45" s="42" t="s">
        <v>476</v>
      </c>
      <c r="E45" s="55">
        <v>1347</v>
      </c>
      <c r="F45" s="42"/>
      <c r="G45" s="42">
        <v>935</v>
      </c>
      <c r="H45" s="56">
        <v>687</v>
      </c>
      <c r="I45" s="56">
        <v>687</v>
      </c>
      <c r="J45" s="42">
        <v>822</v>
      </c>
      <c r="K45" s="52" t="e">
        <f>IF(B22="Common Area",(D7/G7-M7/P7)/1000*E45,(D7/G7-M7/P7)/1000*G45)</f>
        <v>#DIV/0!</v>
      </c>
      <c r="L45" s="52" t="e">
        <f>IF(K7&lt;&gt;"AFUE",IF(B7="Common Area",(I7/J7-R7/S7)/1000*H45,(I7/J7-R7/S7)/1000*J45),0)</f>
        <v>#DIV/0!</v>
      </c>
      <c r="M45" s="53" t="e">
        <f t="shared" si="25"/>
        <v>#DIV/0!</v>
      </c>
      <c r="N45" s="54">
        <f>IF(K7="AFUE",IF(B7="Common Area",(I7/J7)/1000000*I7,(I7/J7)/1000000*J7),0)</f>
        <v>0</v>
      </c>
      <c r="O45" s="49" t="s">
        <v>409</v>
      </c>
    </row>
    <row r="46" spans="1:15" s="47" customFormat="1">
      <c r="A46" s="50" t="s">
        <v>410</v>
      </c>
      <c r="B46" s="47" t="s">
        <v>477</v>
      </c>
      <c r="C46" s="46" t="str">
        <f t="shared" si="2"/>
        <v>Entry 2Other</v>
      </c>
      <c r="D46" s="42" t="s">
        <v>476</v>
      </c>
      <c r="E46" s="55">
        <v>1347</v>
      </c>
      <c r="F46" s="42"/>
      <c r="G46" s="42">
        <v>935</v>
      </c>
      <c r="H46" s="56">
        <v>687</v>
      </c>
      <c r="I46" s="56">
        <v>687</v>
      </c>
      <c r="J46" s="42">
        <v>822</v>
      </c>
      <c r="K46" s="52" t="e">
        <f>IF(B23="Common Area",(D8/G8-M8/P8)/1000*E46,(D8/G8-M8/P8)/1000*G46)</f>
        <v>#DIV/0!</v>
      </c>
      <c r="L46" s="52" t="e">
        <f>IF(K8&lt;&gt;"AFUE",IF(B8="Common Area",(I8/J8-R8/S8)/1000*H46,(I8/J8-R8/S8)/1000*J46),0)</f>
        <v>#DIV/0!</v>
      </c>
      <c r="M46" s="53" t="e">
        <f t="shared" ref="M46:M47" si="29">SUM(K46:L46)</f>
        <v>#DIV/0!</v>
      </c>
      <c r="N46" s="54">
        <f t="shared" ref="N46:N47" si="30">IF(K8="AFUE",IF(B8="Common Area",(I8/J8)/1000000*I8,(I8/J8)/1000000*J8),0)</f>
        <v>0</v>
      </c>
      <c r="O46" s="50" t="s">
        <v>410</v>
      </c>
    </row>
    <row r="47" spans="1:15" s="48" customFormat="1">
      <c r="A47" s="51" t="s">
        <v>411</v>
      </c>
      <c r="B47" s="48" t="s">
        <v>477</v>
      </c>
      <c r="C47" s="46" t="str">
        <f t="shared" si="2"/>
        <v>Entry 3Other</v>
      </c>
      <c r="D47" s="42" t="s">
        <v>476</v>
      </c>
      <c r="E47" s="55">
        <v>1347</v>
      </c>
      <c r="F47" s="42"/>
      <c r="G47" s="42">
        <v>935</v>
      </c>
      <c r="H47" s="56">
        <v>687</v>
      </c>
      <c r="I47" s="56">
        <v>687</v>
      </c>
      <c r="J47" s="42">
        <v>822</v>
      </c>
      <c r="K47" s="52" t="e">
        <f>IF(B27="Common Area",(D9/G9-M9/P9)/1000*E47,(D9/G9-M9/P9)/1000*G47)</f>
        <v>#DIV/0!</v>
      </c>
      <c r="L47" s="52" t="e">
        <f>IF(K9&lt;&gt;"AFUE",IF(B9="Common Area",(I9/J9-R9/S9)/1000*H47,(I9/J9-R9/S9)/1000*J47),0)</f>
        <v>#DIV/0!</v>
      </c>
      <c r="M47" s="53" t="e">
        <f t="shared" si="29"/>
        <v>#DIV/0!</v>
      </c>
      <c r="N47" s="54">
        <f t="shared" si="30"/>
        <v>0</v>
      </c>
      <c r="O47" s="51" t="s">
        <v>411</v>
      </c>
    </row>
    <row r="48" spans="1:15" s="48" customFormat="1">
      <c r="A48" s="49" t="s">
        <v>460</v>
      </c>
      <c r="B48" s="46" t="s">
        <v>477</v>
      </c>
      <c r="C48" s="46" t="str">
        <f t="shared" ref="C48:C50" si="31">CONCATENATE(A48,B48)</f>
        <v>Entry 4Other</v>
      </c>
      <c r="D48" s="42" t="s">
        <v>476</v>
      </c>
      <c r="E48" s="55">
        <v>1347</v>
      </c>
      <c r="F48" s="42"/>
      <c r="G48" s="42">
        <v>935</v>
      </c>
      <c r="H48" s="56">
        <v>687</v>
      </c>
      <c r="I48" s="56">
        <v>687</v>
      </c>
      <c r="J48" s="42">
        <v>822</v>
      </c>
      <c r="K48" s="52" t="e">
        <f t="shared" ref="K48:K50" si="32">IF(B28="Common Area",(D10/G10-M10/P10)/1000*E48,(D10/G10-M10/P10)/1000*G48)</f>
        <v>#DIV/0!</v>
      </c>
      <c r="L48" s="52" t="e">
        <f t="shared" ref="L48:L50" si="33">IF(K10&lt;&gt;"AFUE",IF(B10="Common Area",(I10/J10-R10/S10)/1000*H48,(I10/J10-R10/S10)/1000*J48),0)</f>
        <v>#DIV/0!</v>
      </c>
      <c r="M48" s="53" t="e">
        <f t="shared" ref="M48:M50" si="34">SUM(K48:L48)</f>
        <v>#DIV/0!</v>
      </c>
      <c r="N48" s="54">
        <f t="shared" ref="N48:N50" si="35">IF(K10="AFUE",IF(B10="Common Area",(I10/J10)/1000000*I10,(I10/J10)/1000000*J10),0)</f>
        <v>0</v>
      </c>
      <c r="O48" s="49" t="s">
        <v>460</v>
      </c>
    </row>
    <row r="49" spans="1:15" s="48" customFormat="1">
      <c r="A49" s="47" t="s">
        <v>461</v>
      </c>
      <c r="B49" s="47" t="s">
        <v>477</v>
      </c>
      <c r="C49" s="46" t="str">
        <f t="shared" si="31"/>
        <v>Entry 5Other</v>
      </c>
      <c r="D49" s="42" t="s">
        <v>476</v>
      </c>
      <c r="E49" s="55">
        <v>1347</v>
      </c>
      <c r="F49" s="42"/>
      <c r="G49" s="42">
        <v>935</v>
      </c>
      <c r="H49" s="56">
        <v>687</v>
      </c>
      <c r="I49" s="56">
        <v>687</v>
      </c>
      <c r="J49" s="42">
        <v>822</v>
      </c>
      <c r="K49" s="52" t="e">
        <f t="shared" si="32"/>
        <v>#DIV/0!</v>
      </c>
      <c r="L49" s="52" t="e">
        <f t="shared" si="33"/>
        <v>#DIV/0!</v>
      </c>
      <c r="M49" s="53" t="e">
        <f t="shared" si="34"/>
        <v>#DIV/0!</v>
      </c>
      <c r="N49" s="54">
        <f t="shared" si="35"/>
        <v>0</v>
      </c>
      <c r="O49" s="47" t="s">
        <v>461</v>
      </c>
    </row>
    <row r="50" spans="1:15" s="48" customFormat="1">
      <c r="A50" s="48" t="s">
        <v>462</v>
      </c>
      <c r="B50" s="48" t="s">
        <v>477</v>
      </c>
      <c r="C50" s="46" t="str">
        <f t="shared" si="31"/>
        <v>Entry 6Other</v>
      </c>
      <c r="D50" s="42" t="s">
        <v>476</v>
      </c>
      <c r="E50" s="55">
        <v>1347</v>
      </c>
      <c r="F50" s="42"/>
      <c r="G50" s="42">
        <v>935</v>
      </c>
      <c r="H50" s="56">
        <v>687</v>
      </c>
      <c r="I50" s="56">
        <v>687</v>
      </c>
      <c r="J50" s="42">
        <v>822</v>
      </c>
      <c r="K50" s="52" t="e">
        <f t="shared" si="32"/>
        <v>#DIV/0!</v>
      </c>
      <c r="L50" s="52" t="e">
        <f t="shared" si="33"/>
        <v>#DIV/0!</v>
      </c>
      <c r="M50" s="53" t="e">
        <f t="shared" si="34"/>
        <v>#DIV/0!</v>
      </c>
      <c r="N50" s="54">
        <f t="shared" si="35"/>
        <v>0</v>
      </c>
      <c r="O50" s="48" t="s">
        <v>462</v>
      </c>
    </row>
    <row r="51" spans="1:15">
      <c r="M51" s="53">
        <f t="shared" si="13"/>
        <v>0</v>
      </c>
    </row>
  </sheetData>
  <pageMargins left="0.7" right="0.7" top="0.75" bottom="0.75" header="0.3" footer="0.3"/>
  <pageSetup orientation="portrait" horizontalDpi="1200" verticalDpi="1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9E8A0-503A-493D-AF9E-4C2233CE6556}">
  <dimension ref="A1:G29"/>
  <sheetViews>
    <sheetView workbookViewId="0">
      <selection activeCell="A2" sqref="A2"/>
    </sheetView>
    <sheetView workbookViewId="1"/>
  </sheetViews>
  <sheetFormatPr defaultRowHeight="12.75"/>
  <cols>
    <col min="1" max="1" width="34.7109375" customWidth="1"/>
    <col min="2" max="3" width="19.7109375" customWidth="1"/>
    <col min="4" max="4" width="8.42578125" bestFit="1" customWidth="1"/>
    <col min="5" max="6" width="8.5703125" bestFit="1" customWidth="1"/>
  </cols>
  <sheetData>
    <row r="1" spans="1:7" ht="18">
      <c r="A1" s="353" t="s">
        <v>478</v>
      </c>
      <c r="B1" s="354" t="s">
        <v>58</v>
      </c>
      <c r="C1" s="355" t="s">
        <v>396</v>
      </c>
      <c r="D1" s="355" t="s">
        <v>479</v>
      </c>
      <c r="E1" s="355" t="s">
        <v>480</v>
      </c>
      <c r="F1" s="355" t="s">
        <v>481</v>
      </c>
      <c r="G1" s="2"/>
    </row>
    <row r="2" spans="1:7" ht="15">
      <c r="A2" s="356" t="s">
        <v>80</v>
      </c>
      <c r="B2" s="357" t="s">
        <v>482</v>
      </c>
      <c r="C2" s="358" t="s">
        <v>482</v>
      </c>
      <c r="D2" s="358" t="s">
        <v>288</v>
      </c>
      <c r="E2" s="358" t="s">
        <v>288</v>
      </c>
      <c r="F2" s="358" t="s">
        <v>288</v>
      </c>
      <c r="G2" s="2"/>
    </row>
    <row r="3" spans="1:7" ht="15">
      <c r="A3" s="356" t="s">
        <v>244</v>
      </c>
      <c r="B3" s="357" t="s">
        <v>245</v>
      </c>
      <c r="C3" s="15">
        <v>1423</v>
      </c>
      <c r="D3" s="15">
        <v>1.095</v>
      </c>
      <c r="E3" s="15">
        <v>0.88800000000000001</v>
      </c>
      <c r="F3" s="15">
        <v>0.5</v>
      </c>
      <c r="G3" s="2"/>
    </row>
    <row r="4" spans="1:7" ht="15">
      <c r="A4" s="356" t="s">
        <v>483</v>
      </c>
      <c r="B4" s="357" t="s">
        <v>245</v>
      </c>
      <c r="C4" s="15">
        <v>730</v>
      </c>
      <c r="D4" s="15">
        <v>1.095</v>
      </c>
      <c r="E4" s="15">
        <v>0.88800000000000001</v>
      </c>
      <c r="F4" s="15">
        <v>0.5</v>
      </c>
      <c r="G4" s="2"/>
    </row>
    <row r="5" spans="1:7" ht="15">
      <c r="A5" s="356" t="s">
        <v>221</v>
      </c>
      <c r="B5" s="357" t="s">
        <v>222</v>
      </c>
      <c r="C5" s="15">
        <v>8760</v>
      </c>
      <c r="D5" s="15">
        <v>1.107</v>
      </c>
      <c r="E5" s="15">
        <v>0.98699999999999999</v>
      </c>
      <c r="F5" s="15">
        <v>0.23</v>
      </c>
      <c r="G5" s="2"/>
    </row>
    <row r="6" spans="1:7" ht="15">
      <c r="A6" s="356" t="s">
        <v>230</v>
      </c>
      <c r="B6" s="357" t="s">
        <v>222</v>
      </c>
      <c r="C6" s="15">
        <v>5950</v>
      </c>
      <c r="D6" s="15">
        <v>1.107</v>
      </c>
      <c r="E6" s="15">
        <v>0.98699999999999999</v>
      </c>
      <c r="F6" s="15">
        <v>0.23</v>
      </c>
      <c r="G6" s="2"/>
    </row>
    <row r="7" spans="1:7" ht="15">
      <c r="A7" s="356" t="s">
        <v>484</v>
      </c>
      <c r="B7" s="357" t="s">
        <v>222</v>
      </c>
      <c r="C7" s="15">
        <v>730</v>
      </c>
      <c r="D7" s="15">
        <v>1.107</v>
      </c>
      <c r="E7" s="15">
        <v>0.98699999999999999</v>
      </c>
      <c r="F7" s="15">
        <v>0.23</v>
      </c>
      <c r="G7" s="2"/>
    </row>
    <row r="8" spans="1:7" ht="15">
      <c r="A8" s="356" t="s">
        <v>237</v>
      </c>
      <c r="B8" s="357" t="s">
        <v>238</v>
      </c>
      <c r="C8" s="15">
        <v>4380</v>
      </c>
      <c r="D8" s="15">
        <v>1</v>
      </c>
      <c r="E8" s="15">
        <v>1</v>
      </c>
      <c r="F8" s="15">
        <v>0</v>
      </c>
      <c r="G8" s="2"/>
    </row>
    <row r="9" spans="1:7" ht="15.75" thickBot="1">
      <c r="A9" s="359" t="s">
        <v>477</v>
      </c>
      <c r="B9" s="360" t="s">
        <v>222</v>
      </c>
      <c r="C9" s="361" t="s">
        <v>485</v>
      </c>
      <c r="D9" s="15">
        <v>1.107</v>
      </c>
      <c r="E9" s="15">
        <v>0.98699999999999999</v>
      </c>
      <c r="F9" s="361">
        <v>0.23</v>
      </c>
      <c r="G9" s="2"/>
    </row>
    <row r="10" spans="1:7" ht="15">
      <c r="A10" s="2"/>
      <c r="B10" s="2"/>
      <c r="C10" s="2"/>
      <c r="D10" s="2"/>
      <c r="E10" s="2"/>
      <c r="F10" s="2"/>
      <c r="G10" s="2"/>
    </row>
    <row r="11" spans="1:7" ht="15.75" thickBot="1">
      <c r="D11" s="2"/>
      <c r="E11" s="2"/>
      <c r="F11" s="2"/>
      <c r="G11" s="2"/>
    </row>
    <row r="12" spans="1:7" ht="18">
      <c r="A12" s="17" t="s">
        <v>332</v>
      </c>
      <c r="B12" s="318" t="s">
        <v>319</v>
      </c>
      <c r="C12" s="2" t="s">
        <v>80</v>
      </c>
      <c r="D12" s="355" t="s">
        <v>486</v>
      </c>
      <c r="E12" s="355" t="s">
        <v>479</v>
      </c>
      <c r="F12" s="355" t="s">
        <v>480</v>
      </c>
      <c r="G12" s="2"/>
    </row>
    <row r="13" spans="1:7" ht="15">
      <c r="A13" s="318" t="s">
        <v>487</v>
      </c>
      <c r="B13" s="2" t="e">
        <f>'IQEF Intake Form'!$I32*'IQEF Intake Form'!$J32*0.98*VLOOKUP('IQEF Intake Form'!$G32,Lighting!$C$13:$D$14,2,FALSE)</f>
        <v>#VALUE!</v>
      </c>
      <c r="C13" s="358" t="s">
        <v>249</v>
      </c>
      <c r="D13" s="358">
        <v>1.2030000000000001</v>
      </c>
      <c r="E13" s="358">
        <v>1.107</v>
      </c>
      <c r="F13" s="358">
        <v>0.98699999999999999</v>
      </c>
      <c r="G13" s="2"/>
    </row>
    <row r="14" spans="1:7" ht="15">
      <c r="A14" s="318" t="s">
        <v>488</v>
      </c>
      <c r="B14" s="2" t="e">
        <f>'IQEF Intake Form'!I32/1000*'IQEF Intake Form'!H32*'IQEF Intake Form'!J32*0.98*IF('Lists &amp; Other References'!#REF!=Lighting!C13,(Lighting!E13+Lighting!F13-1),(Lighting!E14+Lighting!F14-1))</f>
        <v>#VALUE!</v>
      </c>
      <c r="C14" s="15" t="s">
        <v>237</v>
      </c>
      <c r="D14" s="15">
        <v>1</v>
      </c>
      <c r="E14" s="15">
        <v>1</v>
      </c>
      <c r="F14" s="15">
        <v>1</v>
      </c>
      <c r="G14" s="2"/>
    </row>
    <row r="15" spans="1:7" ht="15">
      <c r="A15" s="318" t="s">
        <v>489</v>
      </c>
      <c r="B15" s="103">
        <f>IF('IQEF Intake Form'!G32=Lighting!C13,(Lighting!E13+Lighting!F13-1),(Lighting!E14+Lighting!F14-1))</f>
        <v>1</v>
      </c>
      <c r="C15" s="2"/>
      <c r="D15" s="2"/>
      <c r="E15" s="2"/>
      <c r="F15" s="2"/>
      <c r="G15" s="2"/>
    </row>
    <row r="16" spans="1:7" ht="15">
      <c r="C16" s="2"/>
      <c r="D16" s="2"/>
      <c r="E16" s="2"/>
      <c r="F16" s="2"/>
      <c r="G16" s="2"/>
    </row>
    <row r="17" spans="1:7" ht="15">
      <c r="A17" s="17" t="s">
        <v>63</v>
      </c>
      <c r="B17" s="2"/>
      <c r="C17" s="2"/>
      <c r="D17" s="2"/>
      <c r="E17" s="2"/>
      <c r="F17" s="2"/>
      <c r="G17" s="2"/>
    </row>
    <row r="18" spans="1:7" ht="15">
      <c r="A18" s="350" t="s">
        <v>81</v>
      </c>
      <c r="B18" s="2"/>
      <c r="C18" s="2"/>
      <c r="D18" s="2"/>
      <c r="E18" s="2"/>
      <c r="F18" s="2"/>
      <c r="G18" s="2"/>
    </row>
    <row r="19" spans="1:7" ht="15">
      <c r="A19" s="1" t="s">
        <v>490</v>
      </c>
      <c r="B19" s="2"/>
      <c r="C19" s="2"/>
      <c r="D19" s="2"/>
      <c r="E19" s="2"/>
      <c r="F19" s="2"/>
      <c r="G19" s="2"/>
    </row>
    <row r="20" spans="1:7" ht="15">
      <c r="A20" s="1" t="s">
        <v>491</v>
      </c>
    </row>
    <row r="21" spans="1:7" ht="15">
      <c r="A21" s="1" t="s">
        <v>231</v>
      </c>
      <c r="D21" s="2"/>
      <c r="E21" s="2"/>
      <c r="F21" s="2"/>
      <c r="G21" s="2"/>
    </row>
    <row r="22" spans="1:7" ht="15">
      <c r="A22" s="350" t="s">
        <v>223</v>
      </c>
      <c r="E22" s="2"/>
      <c r="F22" s="2"/>
      <c r="G22" s="2"/>
    </row>
    <row r="23" spans="1:7" ht="15">
      <c r="A23" s="1" t="s">
        <v>239</v>
      </c>
      <c r="E23" s="2"/>
      <c r="F23" s="2"/>
      <c r="G23" s="2"/>
    </row>
    <row r="24" spans="1:7" ht="15">
      <c r="E24" s="2"/>
      <c r="F24" s="2"/>
      <c r="G24" s="2"/>
    </row>
    <row r="25" spans="1:7" ht="15">
      <c r="E25" s="2"/>
      <c r="F25" s="2"/>
      <c r="G25" s="2"/>
    </row>
    <row r="26" spans="1:7" ht="15">
      <c r="E26" s="2"/>
      <c r="F26" s="2"/>
      <c r="G26" s="2"/>
    </row>
    <row r="27" spans="1:7" ht="15">
      <c r="E27" s="2"/>
      <c r="F27" s="2"/>
      <c r="G27" s="2"/>
    </row>
    <row r="28" spans="1:7" ht="15">
      <c r="E28" s="2"/>
      <c r="F28" s="2"/>
      <c r="G28" s="2"/>
    </row>
    <row r="29" spans="1:7" ht="15">
      <c r="E29" s="2"/>
      <c r="F29" s="2"/>
      <c r="G29" s="2"/>
    </row>
  </sheetData>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289DC-3FD4-4229-8BB9-0072D9A8133D}">
  <dimension ref="A1:K9"/>
  <sheetViews>
    <sheetView workbookViewId="0">
      <selection activeCell="A2" sqref="A2"/>
    </sheetView>
    <sheetView workbookViewId="1">
      <selection activeCell="F9" sqref="F9"/>
    </sheetView>
  </sheetViews>
  <sheetFormatPr defaultRowHeight="12.75"/>
  <cols>
    <col min="4" max="4" width="12" bestFit="1" customWidth="1"/>
    <col min="10" max="10" width="11.5703125" bestFit="1" customWidth="1"/>
  </cols>
  <sheetData>
    <row r="1" spans="1:11">
      <c r="B1" t="s">
        <v>364</v>
      </c>
    </row>
    <row r="2" spans="1:11">
      <c r="B2" t="s">
        <v>492</v>
      </c>
      <c r="C2" t="s">
        <v>493</v>
      </c>
      <c r="D2" t="s">
        <v>494</v>
      </c>
      <c r="E2" t="s">
        <v>495</v>
      </c>
      <c r="F2" t="s">
        <v>496</v>
      </c>
      <c r="G2" t="s">
        <v>497</v>
      </c>
      <c r="H2" t="s">
        <v>498</v>
      </c>
      <c r="I2" t="s">
        <v>499</v>
      </c>
      <c r="J2" t="s">
        <v>500</v>
      </c>
    </row>
    <row r="3" spans="1:11">
      <c r="A3" t="s">
        <v>266</v>
      </c>
      <c r="B3">
        <v>1</v>
      </c>
      <c r="C3">
        <f>'IQEF Intake Form'!K82</f>
        <v>0</v>
      </c>
      <c r="D3">
        <f>'IQEF Intake Form'!F82</f>
        <v>0</v>
      </c>
      <c r="E3">
        <v>0.22900000000000001</v>
      </c>
      <c r="F3">
        <f>'IQEF Intake Form'!L82</f>
        <v>0</v>
      </c>
      <c r="G3">
        <v>65</v>
      </c>
      <c r="H3">
        <f>F3-G3</f>
        <v>-65</v>
      </c>
      <c r="I3">
        <v>0.98</v>
      </c>
      <c r="J3" t="e">
        <f>(1/B3-1/C3)*D3*E3*H3*8760/I3/3412</f>
        <v>#DIV/0!</v>
      </c>
      <c r="K3" t="s">
        <v>434</v>
      </c>
    </row>
    <row r="4" spans="1:11">
      <c r="A4" t="s">
        <v>274</v>
      </c>
      <c r="B4">
        <v>1</v>
      </c>
      <c r="C4">
        <f>'IQEF Intake Form'!K82</f>
        <v>0</v>
      </c>
      <c r="D4">
        <f>'IQEF Intake Form'!F82</f>
        <v>0</v>
      </c>
      <c r="E4">
        <v>0.22900000000000001</v>
      </c>
      <c r="F4">
        <f>'IQEF Intake Form'!L82</f>
        <v>0</v>
      </c>
      <c r="G4">
        <v>65</v>
      </c>
      <c r="H4">
        <f>F4-G4</f>
        <v>-65</v>
      </c>
      <c r="I4">
        <v>0.75</v>
      </c>
      <c r="J4" t="e">
        <f>(1/B4-1/C4)*D4*E4*H4*8760/I4/1000000</f>
        <v>#DIV/0!</v>
      </c>
      <c r="K4" t="s">
        <v>314</v>
      </c>
    </row>
    <row r="6" spans="1:11">
      <c r="B6" t="s">
        <v>365</v>
      </c>
    </row>
    <row r="7" spans="1:11">
      <c r="B7" t="s">
        <v>501</v>
      </c>
      <c r="C7" t="s">
        <v>502</v>
      </c>
      <c r="D7" t="s">
        <v>503</v>
      </c>
      <c r="E7" t="s">
        <v>504</v>
      </c>
      <c r="F7" t="s">
        <v>505</v>
      </c>
      <c r="G7" t="s">
        <v>497</v>
      </c>
      <c r="H7" t="s">
        <v>498</v>
      </c>
      <c r="I7" t="s">
        <v>499</v>
      </c>
      <c r="J7" t="s">
        <v>506</v>
      </c>
    </row>
    <row r="8" spans="1:11">
      <c r="A8" t="s">
        <v>266</v>
      </c>
      <c r="B8" s="104">
        <f>1/12</f>
        <v>8.3333333333333329E-2</v>
      </c>
      <c r="C8">
        <v>23.18</v>
      </c>
      <c r="D8" s="104">
        <f>1/22</f>
        <v>4.5454545454545456E-2</v>
      </c>
      <c r="E8">
        <v>25.31</v>
      </c>
      <c r="F8">
        <f>'IQEF Intake Form'!L83</f>
        <v>0</v>
      </c>
      <c r="G8">
        <v>65</v>
      </c>
      <c r="H8">
        <f>F8-G8</f>
        <v>-65</v>
      </c>
      <c r="I8">
        <v>0.98</v>
      </c>
      <c r="J8" s="106">
        <f>(B8*C8-D8*E8)*(H8)*8760/3412/I8</f>
        <v>-133.03053503187485</v>
      </c>
      <c r="K8" t="s">
        <v>434</v>
      </c>
    </row>
    <row r="9" spans="1:11">
      <c r="A9" t="s">
        <v>274</v>
      </c>
      <c r="I9">
        <v>0.75</v>
      </c>
      <c r="J9" s="105">
        <f>J8*3.412/1000*I8/I9</f>
        <v>-0.59309624242424241</v>
      </c>
      <c r="K9" t="s">
        <v>314</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05F2CC9D5506408190873A0881771D" ma:contentTypeVersion="18" ma:contentTypeDescription="Create a new document." ma:contentTypeScope="" ma:versionID="bc6645348597e5c6baaca725b19627fb">
  <xsd:schema xmlns:xsd="http://www.w3.org/2001/XMLSchema" xmlns:xs="http://www.w3.org/2001/XMLSchema" xmlns:p="http://schemas.microsoft.com/office/2006/metadata/properties" xmlns:ns2="9f144f86-a072-4710-8852-d973a69b89a7" xmlns:ns3="2f24cefd-c32a-4508-928e-e8bf1c039b62" targetNamespace="http://schemas.microsoft.com/office/2006/metadata/properties" ma:root="true" ma:fieldsID="203d6a3a7fb9ae88b1f5d9abba6ca295" ns2:_="" ns3:_="">
    <xsd:import namespace="9f144f86-a072-4710-8852-d973a69b89a7"/>
    <xsd:import namespace="2f24cefd-c32a-4508-928e-e8bf1c039b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44f86-a072-4710-8852-d973a69b89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cf37578-2677-4c25-96d1-98b311f70c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24cefd-c32a-4508-928e-e8bf1c039b6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017c164-3139-4410-86fa-01430e4ca017}" ma:internalName="TaxCatchAll" ma:showField="CatchAllData" ma:web="2f24cefd-c32a-4508-928e-e8bf1c039b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144f86-a072-4710-8852-d973a69b89a7">
      <Terms xmlns="http://schemas.microsoft.com/office/infopath/2007/PartnerControls"/>
    </lcf76f155ced4ddcb4097134ff3c332f>
    <TaxCatchAll xmlns="2f24cefd-c32a-4508-928e-e8bf1c039b6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446B02-7571-4F68-A5D6-3201F10E9022}"/>
</file>

<file path=customXml/itemProps2.xml><?xml version="1.0" encoding="utf-8"?>
<ds:datastoreItem xmlns:ds="http://schemas.openxmlformats.org/officeDocument/2006/customXml" ds:itemID="{A4768D2A-CAB7-411E-8D78-CED46108BD46}"/>
</file>

<file path=customXml/itemProps3.xml><?xml version="1.0" encoding="utf-8"?>
<ds:datastoreItem xmlns:ds="http://schemas.openxmlformats.org/officeDocument/2006/customXml" ds:itemID="{253883CB-990B-488D-A4B1-F9284DC027C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Dianne Bellamore</dc:creator>
  <cp:keywords/>
  <dc:description/>
  <cp:lastModifiedBy/>
  <cp:revision/>
  <dcterms:created xsi:type="dcterms:W3CDTF">1998-04-24T21:18:30Z</dcterms:created>
  <dcterms:modified xsi:type="dcterms:W3CDTF">2024-12-02T18:37:16Z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0x0101003C05F2CC9D5506408190873A0881771D</vt:lpwstr>
  </property>
</Properties>
</file>